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9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10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11.xml" ContentType="application/vnd.openxmlformats-officedocument.drawingml.chartshapes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12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3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4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5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6.xml" ContentType="application/vnd.openxmlformats-officedocument.drawingml.chartshapes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7.xml" ContentType="application/vnd.openxmlformats-officedocument.drawingml.chartshape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8.xml" ContentType="application/vnd.openxmlformats-officedocument.drawingml.chartshapes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9.xml" ContentType="application/vnd.openxmlformats-officedocument.drawingml.chartshapes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20.xml" ContentType="application/vnd.openxmlformats-officedocument.drawingml.chartshapes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24.xml" ContentType="application/vnd.openxmlformats-officedocument.drawingml.chartshapes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5.xml" ContentType="application/vnd.openxmlformats-officedocument.drawingml.chartshapes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6.xml" ContentType="application/vnd.openxmlformats-officedocument.drawingml.chartshapes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9.xml" ContentType="application/vnd.openxmlformats-officedocument.drawingml.chartshapes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30.xml" ContentType="application/vnd.openxmlformats-officedocument.drawingml.chartshapes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34.xml" ContentType="application/vnd.openxmlformats-officedocument.drawingml.chartshapes+xml"/>
  <Override PartName="/xl/drawings/drawing35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36.xml" ContentType="application/vnd.openxmlformats-officedocument.drawingml.chartshapes+xml"/>
  <Override PartName="/xl/drawings/drawing3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38.xml" ContentType="application/vnd.openxmlformats-officedocument.drawingml.chartshapes+xml"/>
  <Override PartName="/xl/drawings/drawing39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40.xml" ContentType="application/vnd.openxmlformats-officedocument.drawingml.chartshapes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46.xml" ContentType="application/vnd.openxmlformats-officedocument.drawingml.chartshapes+xml"/>
  <Override PartName="/xl/drawings/drawing47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48.xml" ContentType="application/vnd.openxmlformats-officedocument.drawingml.chartshapes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charts/chart27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7.xml" ContentType="application/vnd.openxmlformats-officedocument.themeOverride+xml"/>
  <Override PartName="/xl/drawings/drawing51.xml" ContentType="application/vnd.openxmlformats-officedocument.drawingml.chartshapes+xml"/>
  <Override PartName="/xl/charts/chart28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8.xml" ContentType="application/vnd.openxmlformats-officedocument.themeOverride+xml"/>
  <Override PartName="/xl/drawings/drawing52.xml" ContentType="application/vnd.openxmlformats-officedocument.drawingml.chartshapes+xml"/>
  <Override PartName="/xl/charts/chart29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9.xml" ContentType="application/vnd.openxmlformats-officedocument.themeOverride+xml"/>
  <Override PartName="/xl/drawings/drawing53.xml" ContentType="application/vnd.openxmlformats-officedocument.drawingml.chartshapes+xml"/>
  <Override PartName="/xl/charts/chart30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30.xml" ContentType="application/vnd.openxmlformats-officedocument.themeOverride+xml"/>
  <Override PartName="/xl/drawings/drawing54.xml" ContentType="application/vnd.openxmlformats-officedocument.drawingml.chartshapes+xml"/>
  <Override PartName="/xl/charts/chart31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31.xml" ContentType="application/vnd.openxmlformats-officedocument.themeOverride+xml"/>
  <Override PartName="/xl/drawings/drawing55.xml" ContentType="application/vnd.openxmlformats-officedocument.drawingml.chartshapes+xml"/>
  <Override PartName="/xl/charts/chart32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32.xml" ContentType="application/vnd.openxmlformats-officedocument.themeOverride+xml"/>
  <Override PartName="/xl/drawings/drawing56.xml" ContentType="application/vnd.openxmlformats-officedocument.drawingml.chartshapes+xml"/>
  <Override PartName="/xl/charts/chart33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theme/themeOverride33.xml" ContentType="application/vnd.openxmlformats-officedocument.themeOverride+xml"/>
  <Override PartName="/xl/drawings/drawing57.xml" ContentType="application/vnd.openxmlformats-officedocument.drawingml.chartshapes+xml"/>
  <Override PartName="/xl/charts/chart34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theme/themeOverride34.xml" ContentType="application/vnd.openxmlformats-officedocument.themeOverride+xml"/>
  <Override PartName="/xl/drawings/drawing58.xml" ContentType="application/vnd.openxmlformats-officedocument.drawingml.chartshapes+xml"/>
  <Override PartName="/xl/charts/chart35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theme/themeOverride35.xml" ContentType="application/vnd.openxmlformats-officedocument.themeOverride+xml"/>
  <Override PartName="/xl/drawings/drawing59.xml" ContentType="application/vnd.openxmlformats-officedocument.drawingml.chartshapes+xml"/>
  <Override PartName="/xl/charts/chart36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theme/themeOverride36.xml" ContentType="application/vnd.openxmlformats-officedocument.themeOverride+xml"/>
  <Override PartName="/xl/drawings/drawing60.xml" ContentType="application/vnd.openxmlformats-officedocument.drawingml.chartshapes+xml"/>
  <Override PartName="/xl/charts/chart37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theme/themeOverride37.xml" ContentType="application/vnd.openxmlformats-officedocument.themeOverride+xml"/>
  <Override PartName="/xl/drawings/drawing61.xml" ContentType="application/vnd.openxmlformats-officedocument.drawingml.chartshapes+xml"/>
  <Override PartName="/xl/charts/chart38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theme/themeOverride38.xml" ContentType="application/vnd.openxmlformats-officedocument.themeOverride+xml"/>
  <Override PartName="/xl/drawings/drawing62.xml" ContentType="application/vnd.openxmlformats-officedocument.drawingml.chartshapes+xml"/>
  <Override PartName="/xl/drawings/drawing63.xml" ContentType="application/vnd.openxmlformats-officedocument.drawing+xml"/>
  <Override PartName="/xl/charts/chart39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theme/themeOverride39.xml" ContentType="application/vnd.openxmlformats-officedocument.themeOverride+xml"/>
  <Override PartName="/xl/drawings/drawing64.xml" ContentType="application/vnd.openxmlformats-officedocument.drawingml.chartshapes+xml"/>
  <Override PartName="/xl/charts/chart40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theme/themeOverride40.xml" ContentType="application/vnd.openxmlformats-officedocument.themeOverride+xml"/>
  <Override PartName="/xl/drawings/drawing65.xml" ContentType="application/vnd.openxmlformats-officedocument.drawingml.chartshapes+xml"/>
  <Override PartName="/xl/charts/chart41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theme/themeOverride41.xml" ContentType="application/vnd.openxmlformats-officedocument.themeOverride+xml"/>
  <Override PartName="/xl/drawings/drawing66.xml" ContentType="application/vnd.openxmlformats-officedocument.drawingml.chartshapes+xml"/>
  <Override PartName="/xl/charts/chart42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theme/themeOverride42.xml" ContentType="application/vnd.openxmlformats-officedocument.themeOverride+xml"/>
  <Override PartName="/xl/drawings/drawing67.xml" ContentType="application/vnd.openxmlformats-officedocument.drawingml.chartshapes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charts/chart43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43.xml" ContentType="application/vnd.openxmlformats-officedocument.themeOverride+xml"/>
  <Override PartName="/xl/drawings/drawing73.xml" ContentType="application/vnd.openxmlformats-officedocument.drawingml.chartshapes+xml"/>
  <Override PartName="/xl/charts/chart44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theme/themeOverride44.xml" ContentType="application/vnd.openxmlformats-officedocument.themeOverride+xml"/>
  <Override PartName="/xl/drawings/drawing74.xml" ContentType="application/vnd.openxmlformats-officedocument.drawingml.chartshapes+xml"/>
  <Override PartName="/xl/charts/chart45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theme/themeOverride45.xml" ContentType="application/vnd.openxmlformats-officedocument.themeOverride+xml"/>
  <Override PartName="/xl/drawings/drawing75.xml" ContentType="application/vnd.openxmlformats-officedocument.drawingml.chartshapes+xml"/>
  <Override PartName="/xl/charts/chart46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theme/themeOverride46.xml" ContentType="application/vnd.openxmlformats-officedocument.themeOverride+xml"/>
  <Override PartName="/xl/drawings/drawing76.xml" ContentType="application/vnd.openxmlformats-officedocument.drawingml.chartshapes+xml"/>
  <Override PartName="/xl/charts/chart47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theme/themeOverride47.xml" ContentType="application/vnd.openxmlformats-officedocument.themeOverride+xml"/>
  <Override PartName="/xl/drawings/drawing77.xml" ContentType="application/vnd.openxmlformats-officedocument.drawingml.chartshapes+xml"/>
  <Override PartName="/xl/charts/chart48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theme/themeOverride48.xml" ContentType="application/vnd.openxmlformats-officedocument.themeOverride+xml"/>
  <Override PartName="/xl/drawings/drawing78.xml" ContentType="application/vnd.openxmlformats-officedocument.drawingml.chartshapes+xml"/>
  <Override PartName="/xl/charts/chart49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theme/themeOverride49.xml" ContentType="application/vnd.openxmlformats-officedocument.themeOverride+xml"/>
  <Override PartName="/xl/drawings/drawing79.xml" ContentType="application/vnd.openxmlformats-officedocument.drawingml.chartshapes+xml"/>
  <Override PartName="/xl/charts/chart50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theme/themeOverride50.xml" ContentType="application/vnd.openxmlformats-officedocument.themeOverride+xml"/>
  <Override PartName="/xl/drawings/drawing80.xml" ContentType="application/vnd.openxmlformats-officedocument.drawingml.chartshapes+xml"/>
  <Override PartName="/xl/charts/chart51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theme/themeOverride51.xml" ContentType="application/vnd.openxmlformats-officedocument.themeOverride+xml"/>
  <Override PartName="/xl/drawings/drawing81.xml" ContentType="application/vnd.openxmlformats-officedocument.drawingml.chartshapes+xml"/>
  <Override PartName="/xl/charts/chart52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theme/themeOverride52.xml" ContentType="application/vnd.openxmlformats-officedocument.themeOverride+xml"/>
  <Override PartName="/xl/drawings/drawing82.xml" ContentType="application/vnd.openxmlformats-officedocument.drawingml.chartshapes+xml"/>
  <Override PartName="/xl/charts/chart53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theme/themeOverride53.xml" ContentType="application/vnd.openxmlformats-officedocument.themeOverride+xml"/>
  <Override PartName="/xl/drawings/drawing83.xml" ContentType="application/vnd.openxmlformats-officedocument.drawingml.chartshapes+xml"/>
  <Override PartName="/xl/charts/chart54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theme/themeOverride54.xml" ContentType="application/vnd.openxmlformats-officedocument.themeOverride+xml"/>
  <Override PartName="/xl/drawings/drawing84.xml" ContentType="application/vnd.openxmlformats-officedocument.drawingml.chartshapes+xml"/>
  <Override PartName="/xl/charts/chart55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theme/themeOverride55.xml" ContentType="application/vnd.openxmlformats-officedocument.themeOverride+xml"/>
  <Override PartName="/xl/drawings/drawing85.xml" ContentType="application/vnd.openxmlformats-officedocument.drawingml.chartshapes+xml"/>
  <Override PartName="/xl/drawings/drawing86.xml" ContentType="application/vnd.openxmlformats-officedocument.drawing+xml"/>
  <Override PartName="/xl/charts/chart56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theme/themeOverride56.xml" ContentType="application/vnd.openxmlformats-officedocument.themeOverride+xml"/>
  <Override PartName="/xl/drawings/drawing87.xml" ContentType="application/vnd.openxmlformats-officedocument.drawingml.chartshapes+xml"/>
  <Override PartName="/xl/charts/chart57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theme/themeOverride57.xml" ContentType="application/vnd.openxmlformats-officedocument.themeOverride+xml"/>
  <Override PartName="/xl/drawings/drawing88.xml" ContentType="application/vnd.openxmlformats-officedocument.drawingml.chartshapes+xml"/>
  <Override PartName="/xl/charts/chart58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theme/themeOverride58.xml" ContentType="application/vnd.openxmlformats-officedocument.themeOverride+xml"/>
  <Override PartName="/xl/drawings/drawing89.xml" ContentType="application/vnd.openxmlformats-officedocument.drawingml.chartshapes+xml"/>
  <Override PartName="/xl/charts/chart59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theme/themeOverride59.xml" ContentType="application/vnd.openxmlformats-officedocument.themeOverride+xml"/>
  <Override PartName="/xl/drawings/drawing90.xml" ContentType="application/vnd.openxmlformats-officedocument.drawingml.chartshapes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charts/chart60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theme/themeOverride60.xml" ContentType="application/vnd.openxmlformats-officedocument.themeOverride+xml"/>
  <Override PartName="/xl/drawings/drawing93.xml" ContentType="application/vnd.openxmlformats-officedocument.drawingml.chartshapes+xml"/>
  <Override PartName="/xl/charts/chart61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theme/themeOverride61.xml" ContentType="application/vnd.openxmlformats-officedocument.themeOverride+xml"/>
  <Override PartName="/xl/drawings/drawing94.xml" ContentType="application/vnd.openxmlformats-officedocument.drawingml.chartshapes+xml"/>
  <Override PartName="/xl/charts/chart62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theme/themeOverride62.xml" ContentType="application/vnd.openxmlformats-officedocument.themeOverride+xml"/>
  <Override PartName="/xl/drawings/drawing95.xml" ContentType="application/vnd.openxmlformats-officedocument.drawingml.chartshapes+xml"/>
  <Override PartName="/xl/charts/chart63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theme/themeOverride63.xml" ContentType="application/vnd.openxmlformats-officedocument.themeOverride+xml"/>
  <Override PartName="/xl/drawings/drawing96.xml" ContentType="application/vnd.openxmlformats-officedocument.drawingml.chartshapes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charts/chart64.xml" ContentType="application/vnd.openxmlformats-officedocument.drawingml.chart+xml"/>
  <Override PartName="/xl/drawings/drawing103.xml" ContentType="application/vnd.openxmlformats-officedocument.drawingml.chartshapes+xml"/>
  <Override PartName="/xl/charts/chart65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104.xml" ContentType="application/vnd.openxmlformats-officedocument.drawingml.chartshapes+xml"/>
  <Override PartName="/xl/charts/chart66.xml" ContentType="application/vnd.openxmlformats-officedocument.drawingml.chart+xml"/>
  <Override PartName="/xl/theme/themeOverride64.xml" ContentType="application/vnd.openxmlformats-officedocument.themeOverride+xml"/>
  <Override PartName="/xl/drawings/drawing105.xml" ContentType="application/vnd.openxmlformats-officedocument.drawingml.chartshapes+xml"/>
  <Override PartName="/xl/drawings/drawing106.xml" ContentType="application/vnd.openxmlformats-officedocument.drawing+xml"/>
  <Override PartName="/xl/charts/chart67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107.xml" ContentType="application/vnd.openxmlformats-officedocument.drawingml.chartshapes+xml"/>
  <Override PartName="/xl/charts/chart68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108.xml" ContentType="application/vnd.openxmlformats-officedocument.drawingml.chartshapes+xml"/>
  <Override PartName="/xl/drawings/drawing109.xml" ContentType="application/vnd.openxmlformats-officedocument.drawing+xml"/>
  <Override PartName="/xl/charts/chart69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110.xml" ContentType="application/vnd.openxmlformats-officedocument.drawingml.chartshapes+xml"/>
  <Override PartName="/xl/charts/chart70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111.xml" ContentType="application/vnd.openxmlformats-officedocument.drawingml.chartshapes+xml"/>
  <Override PartName="/xl/drawings/drawing112.xml" ContentType="application/vnd.openxmlformats-officedocument.drawing+xml"/>
  <Override PartName="/xl/charts/chart71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113.xml" ContentType="application/vnd.openxmlformats-officedocument.drawingml.chartshapes+xml"/>
  <Override PartName="/xl/charts/chart72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114.xml" ContentType="application/vnd.openxmlformats-officedocument.drawingml.chartshapes+xml"/>
  <Override PartName="/xl/drawings/drawing115.xml" ContentType="application/vnd.openxmlformats-officedocument.drawing+xml"/>
  <Override PartName="/xl/charts/chart73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drawings/drawing116.xml" ContentType="application/vnd.openxmlformats-officedocument.drawingml.chartshapes+xml"/>
  <Override PartName="/xl/charts/chart74.xml" ContentType="application/vnd.openxmlformats-officedocument.drawingml.chart+xml"/>
  <Override PartName="/xl/theme/themeOverride65.xml" ContentType="application/vnd.openxmlformats-officedocument.themeOverride+xml"/>
  <Override PartName="/xl/drawings/drawing117.xml" ContentType="application/vnd.openxmlformats-officedocument.drawingml.chartshapes+xml"/>
  <Override PartName="/xl/charts/chart75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drawings/drawing118.xml" ContentType="application/vnd.openxmlformats-officedocument.drawingml.chartshapes+xml"/>
  <Override PartName="/xl/drawings/drawing119.xml" ContentType="application/vnd.openxmlformats-officedocument.drawing+xml"/>
  <Override PartName="/xl/charts/chart76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drawings/drawing120.xml" ContentType="application/vnd.openxmlformats-officedocument.drawingml.chartshapes+xml"/>
  <Override PartName="/xl/charts/chart77.xml" ContentType="application/vnd.openxmlformats-officedocument.drawingml.chart+xml"/>
  <Override PartName="/xl/theme/themeOverride66.xml" ContentType="application/vnd.openxmlformats-officedocument.themeOverride+xml"/>
  <Override PartName="/xl/drawings/drawing121.xml" ContentType="application/vnd.openxmlformats-officedocument.drawingml.chartshapes+xml"/>
  <Override PartName="/xl/charts/chart78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drawings/drawing122.xml" ContentType="application/vnd.openxmlformats-officedocument.drawingml.chartshapes+xml"/>
  <Override PartName="/xl/drawings/drawing123.xml" ContentType="application/vnd.openxmlformats-officedocument.drawing+xml"/>
  <Override PartName="/xl/charts/chart79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drawings/drawing124.xml" ContentType="application/vnd.openxmlformats-officedocument.drawingml.chartshapes+xml"/>
  <Override PartName="/xl/charts/chart80.xml" ContentType="application/vnd.openxmlformats-officedocument.drawingml.chart+xml"/>
  <Override PartName="/xl/theme/themeOverride67.xml" ContentType="application/vnd.openxmlformats-officedocument.themeOverride+xml"/>
  <Override PartName="/xl/drawings/drawing125.xml" ContentType="application/vnd.openxmlformats-officedocument.drawingml.chartshapes+xml"/>
  <Override PartName="/xl/charts/chart81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drawings/drawing126.xml" ContentType="application/vnd.openxmlformats-officedocument.drawingml.chartshapes+xml"/>
  <Override PartName="/xl/drawings/drawing127.xml" ContentType="application/vnd.openxmlformats-officedocument.drawing+xml"/>
  <Override PartName="/xl/charts/chart82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theme/themeOverride68.xml" ContentType="application/vnd.openxmlformats-officedocument.themeOverride+xml"/>
  <Override PartName="/xl/drawings/drawing128.xml" ContentType="application/vnd.openxmlformats-officedocument.drawingml.chartshapes+xml"/>
  <Override PartName="/xl/drawings/drawing129.xml" ContentType="application/vnd.openxmlformats-officedocument.drawing+xml"/>
  <Override PartName="/xl/charts/chart83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theme/themeOverride69.xml" ContentType="application/vnd.openxmlformats-officedocument.themeOverride+xml"/>
  <Override PartName="/xl/drawings/drawing130.xml" ContentType="application/vnd.openxmlformats-officedocument.drawingml.chartshapes+xml"/>
  <Override PartName="/xl/drawings/drawing131.xml" ContentType="application/vnd.openxmlformats-officedocument.drawing+xml"/>
  <Override PartName="/xl/charts/chart84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theme/themeOverride70.xml" ContentType="application/vnd.openxmlformats-officedocument.themeOverride+xml"/>
  <Override PartName="/xl/drawings/drawing132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urismodetenerife.sharepoint.com/sites/INVESTIGACION/Documentos compartidos/General/Encuesta Alojam Turísticos (ISTAC)/2026/municipios/julio/"/>
    </mc:Choice>
  </mc:AlternateContent>
  <xr:revisionPtr revIDLastSave="48" documentId="8_{547A89E1-78AB-4DAE-8FA7-07314734C913}" xr6:coauthVersionLast="47" xr6:coauthVersionMax="47" xr10:uidLastSave="{C3AA3FEA-36CA-467F-B56D-F467D6B09B8B}"/>
  <bookViews>
    <workbookView xWindow="28680" yWindow="-120" windowWidth="21840" windowHeight="13020" xr2:uid="{E7A05A2D-074D-439F-9E12-B247B5131ED5}"/>
  </bookViews>
  <sheets>
    <sheet name="Menú principal" sheetId="1" r:id="rId1"/>
    <sheet name="Resumen indicadores (aloj)" sheetId="2" r:id="rId2"/>
    <sheet name="Resumen indicadores municipios " sheetId="3" r:id="rId3"/>
    <sheet name="Oferta alojativa" sheetId="4" r:id="rId4"/>
    <sheet name="Plazas aloj islas cat y tipolog" sheetId="5" r:id="rId5"/>
    <sheet name="Establecim aloj islas cat y tip" sheetId="6" r:id="rId6"/>
    <sheet name="viajeros entrados" sheetId="7" r:id="rId7"/>
    <sheet name="Viajeros entr evol mensu TF" sheetId="8" r:id="rId8"/>
    <sheet name="Viajeros entr evol mensu TF15-2" sheetId="9" r:id="rId9"/>
    <sheet name="Viajeros entr evol mensu TF cat" sheetId="10" r:id="rId10"/>
    <sheet name="Viajeros entr evol anual TF cat" sheetId="11" r:id="rId11"/>
    <sheet name="Viajeros entr ti-cat ultimo mes" sheetId="12" r:id="rId12"/>
    <sheet name="viaj entrados lugar resid años " sheetId="13" r:id="rId13"/>
    <sheet name="viaj entrados lugar residencia" sheetId="14" r:id="rId14"/>
    <sheet name="viaj entrados lugar residen acu" sheetId="15" r:id="rId15"/>
    <sheet name="viaj entrados lugar residen hot" sheetId="16" r:id="rId16"/>
    <sheet name="viaj entrados lugar residen apt" sheetId="17" r:id="rId17"/>
    <sheet name="viaj entrados lugar residen cat" sheetId="18" r:id="rId18"/>
    <sheet name="viaj entr lugar res año categor" sheetId="19" r:id="rId19"/>
    <sheet name="viajeros alojados" sheetId="20" r:id="rId20"/>
    <sheet name="viaj aloj lugar residen mes" sheetId="21" r:id="rId21"/>
    <sheet name="viaj alojados lugar residen acu" sheetId="22" r:id="rId22"/>
    <sheet name="Pernoctaciones" sheetId="23" r:id="rId23"/>
    <sheet name="Pernoctaciones evol mensu TF" sheetId="24" r:id="rId24"/>
    <sheet name="Pernocta evol mensu TF cat" sheetId="25" r:id="rId25"/>
    <sheet name="Pernoctaciones lugar reside" sheetId="26" r:id="rId26"/>
    <sheet name="Pernoctaciones lugar residen ac" sheetId="27" r:id="rId27"/>
    <sheet name="Pernoctaciones lugar reside año" sheetId="28" r:id="rId28"/>
    <sheet name="Estancia media" sheetId="29" r:id="rId29"/>
    <sheet name="EM evol menusual lugar resd" sheetId="30" r:id="rId30"/>
    <sheet name="EM evol mensu TF cat " sheetId="31" r:id="rId31"/>
    <sheet name="Tasa de ocupación" sheetId="32" r:id="rId32"/>
    <sheet name="tasa de ocupación evol mens" sheetId="33" r:id="rId33"/>
    <sheet name="indicadores rentabilidad" sheetId="34" r:id="rId34"/>
    <sheet name="ADR RevPAR ingresos totales ult" sheetId="35" r:id="rId35"/>
    <sheet name="ADR municipios" sheetId="36" r:id="rId36"/>
    <sheet name="RevPAR  municipios" sheetId="37" r:id="rId37"/>
    <sheet name="viajeros españoles" sheetId="38" r:id="rId38"/>
    <sheet name="distribución españoles x Resid" sheetId="39" r:id="rId39"/>
    <sheet name="distribución españoles x cate" sheetId="40" r:id="rId40"/>
    <sheet name="distribución peninsulare x cate" sheetId="41" r:id="rId41"/>
    <sheet name="distribución canarios x cate" sheetId="42" r:id="rId42"/>
    <sheet name="distribución españoles x mun al" sheetId="43" r:id="rId43"/>
    <sheet name="distribución peninsula x munici" sheetId="44" r:id="rId44"/>
    <sheet name="distribución canarias x munici" sheetId="45" r:id="rId45"/>
    <sheet name="evolución anual viaj ent españo" sheetId="46" r:id="rId46"/>
    <sheet name="evolución anual viaj ent penins" sheetId="47" r:id="rId47"/>
    <sheet name="evolución anual viaj ent canari" sheetId="48" r:id="rId48"/>
  </sheets>
  <definedNames>
    <definedName name="_xlnm.Print_Area" localSheetId="44">'distribución canarias x munici'!$B$3:$AB$37</definedName>
    <definedName name="_xlnm.Print_Area" localSheetId="41">'distribución canarios x cate'!$B$3:$AB$33</definedName>
    <definedName name="_xlnm.Print_Area" localSheetId="39">'distribución españoles x cate'!$B$3:$AB$33</definedName>
    <definedName name="_xlnm.Print_Area" localSheetId="42">'distribución españoles x mun al'!$B$3:$AB$37</definedName>
    <definedName name="_xlnm.Print_Area" localSheetId="38">'distribución españoles x Resid'!$B$3:$AB$32</definedName>
    <definedName name="_xlnm.Print_Area" localSheetId="43">'distribución peninsula x munici'!$B$3:$AB$37</definedName>
    <definedName name="_xlnm.Print_Area" localSheetId="40">'distribución peninsulare x cate'!$B$3:$AB$33</definedName>
    <definedName name="_xlnm.Print_Area" localSheetId="25">'Pernoctaciones lugar reside'!$B$4:$K$162</definedName>
    <definedName name="_xlnm.Print_Area" localSheetId="27">'Pernoctaciones lugar reside año'!$B$4:$M$162</definedName>
    <definedName name="_xlnm.Print_Area" localSheetId="26">'Pernoctaciones lugar residen ac'!$B$3:$K$162</definedName>
    <definedName name="_xlnm.Print_Area" localSheetId="21">'viaj alojados lugar residen acu'!$B$4:$L$163</definedName>
    <definedName name="_xlnm.Print_Area" localSheetId="18">'viaj entr lugar res año categor'!$B$4:$B$164</definedName>
    <definedName name="_xlnm.Print_Area" localSheetId="12">'viaj entrados lugar resid años '!$B$3:$K$162</definedName>
    <definedName name="_xlnm.Print_Area" localSheetId="14">'viaj entrados lugar residen acu'!$B$4:$M$22</definedName>
    <definedName name="_xlnm.Print_Area" localSheetId="16">'viaj entrados lugar residen apt'!$B$4:$K$22</definedName>
    <definedName name="_xlnm.Print_Area" localSheetId="17">'viaj entrados lugar residen cat'!$B$3:$B$163</definedName>
    <definedName name="_xlnm.Print_Area" localSheetId="15">'viaj entrados lugar residen hot'!$B$4:$K$22</definedName>
    <definedName name="españafuerteventura">#REF!</definedName>
    <definedName name="españafuerteventura0">#REF!</definedName>
    <definedName name="españagrancanaria">#REF!</definedName>
    <definedName name="españagrancanaria0">#REF!</definedName>
    <definedName name="españalanzarote">#REF!</definedName>
    <definedName name="españalanzarote0">#REF!</definedName>
    <definedName name="españalapalma">#REF!</definedName>
    <definedName name="españalapalma0">#REF!</definedName>
    <definedName name="españaTFN">#REF!</definedName>
    <definedName name="españaTFN0">#REF!</definedName>
    <definedName name="españaTFS">#REF!</definedName>
    <definedName name="españaTFS0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48" l="1"/>
  <c r="B10" i="48" s="1"/>
  <c r="B9" i="47"/>
  <c r="B10" i="47" s="1"/>
  <c r="B10" i="46"/>
  <c r="B11" i="46" s="1"/>
  <c r="B9" i="46"/>
  <c r="O135" i="45"/>
  <c r="N135" i="45"/>
  <c r="M135" i="45"/>
  <c r="N5" i="45"/>
  <c r="M5" i="45"/>
  <c r="L5" i="45"/>
  <c r="J5" i="45"/>
  <c r="I5" i="45"/>
  <c r="F5" i="45"/>
  <c r="G135" i="44"/>
  <c r="N5" i="44"/>
  <c r="F5" i="44"/>
  <c r="L135" i="43"/>
  <c r="K135" i="43"/>
  <c r="H135" i="43"/>
  <c r="G135" i="43"/>
  <c r="Q5" i="43"/>
  <c r="N5" i="43"/>
  <c r="H5" i="43"/>
  <c r="F5" i="43"/>
  <c r="L133" i="42"/>
  <c r="K133" i="42"/>
  <c r="T5" i="42"/>
  <c r="S5" i="42"/>
  <c r="R5" i="42"/>
  <c r="J5" i="42"/>
  <c r="H5" i="42"/>
  <c r="F5" i="42"/>
  <c r="I133" i="40"/>
  <c r="Q5" i="40"/>
  <c r="P5" i="40"/>
  <c r="T5" i="40"/>
  <c r="N5" i="40"/>
  <c r="M5" i="40"/>
  <c r="L5" i="40"/>
  <c r="O123" i="39"/>
  <c r="N123" i="39"/>
  <c r="K123" i="39"/>
  <c r="I123" i="39"/>
  <c r="G123" i="39"/>
  <c r="T5" i="39"/>
  <c r="S5" i="39"/>
  <c r="R5" i="39"/>
  <c r="Q5" i="39"/>
  <c r="P5" i="39"/>
  <c r="O5" i="39"/>
  <c r="M5" i="39"/>
  <c r="K5" i="39"/>
  <c r="B3" i="37"/>
  <c r="P5" i="36"/>
  <c r="B3" i="36"/>
  <c r="H29" i="35"/>
  <c r="AL7" i="35"/>
  <c r="AK7" i="35"/>
  <c r="I51" i="33"/>
  <c r="G51" i="33" s="1"/>
  <c r="L30" i="33"/>
  <c r="I29" i="33"/>
  <c r="G29" i="33"/>
  <c r="E29" i="33" s="1"/>
  <c r="I7" i="33"/>
  <c r="F74" i="31"/>
  <c r="I73" i="31"/>
  <c r="G73" i="31" s="1"/>
  <c r="E73" i="31" s="1"/>
  <c r="C73" i="31" s="1"/>
  <c r="D74" i="31" s="1"/>
  <c r="I51" i="31"/>
  <c r="I29" i="31"/>
  <c r="G29" i="31" s="1"/>
  <c r="E29" i="31" s="1"/>
  <c r="I7" i="31"/>
  <c r="G7" i="31" s="1"/>
  <c r="L272" i="30"/>
  <c r="I271" i="30"/>
  <c r="G271" i="30"/>
  <c r="B270" i="30"/>
  <c r="B248" i="30"/>
  <c r="I227" i="30"/>
  <c r="G227" i="30" s="1"/>
  <c r="B226" i="30"/>
  <c r="I205" i="30"/>
  <c r="G205" i="30" s="1"/>
  <c r="E205" i="30" s="1"/>
  <c r="B204" i="30"/>
  <c r="L184" i="30"/>
  <c r="J184" i="30"/>
  <c r="I183" i="30"/>
  <c r="G183" i="30"/>
  <c r="E183" i="30" s="1"/>
  <c r="B182" i="30"/>
  <c r="L162" i="30"/>
  <c r="I161" i="30"/>
  <c r="G161" i="30"/>
  <c r="E161" i="30" s="1"/>
  <c r="B160" i="30"/>
  <c r="B138" i="30"/>
  <c r="I117" i="30"/>
  <c r="G117" i="30" s="1"/>
  <c r="B116" i="30"/>
  <c r="L74" i="30"/>
  <c r="I73" i="30"/>
  <c r="G73" i="30" s="1"/>
  <c r="I29" i="30"/>
  <c r="I7" i="30"/>
  <c r="B4" i="28"/>
  <c r="B3" i="27"/>
  <c r="K6" i="26"/>
  <c r="J6" i="26"/>
  <c r="B4" i="26"/>
  <c r="B252" i="24"/>
  <c r="B226" i="24"/>
  <c r="B204" i="24"/>
  <c r="B182" i="24"/>
  <c r="B160" i="24"/>
  <c r="B138" i="24"/>
  <c r="B116" i="24"/>
  <c r="K73" i="24"/>
  <c r="K29" i="24"/>
  <c r="I29" i="24"/>
  <c r="I7" i="24"/>
  <c r="B4" i="22"/>
  <c r="B5" i="21"/>
  <c r="N7" i="19"/>
  <c r="B4" i="19"/>
  <c r="J6" i="18"/>
  <c r="B3" i="18"/>
  <c r="K7" i="17"/>
  <c r="B4" i="17"/>
  <c r="V7" i="16"/>
  <c r="B4" i="16"/>
  <c r="B4" i="15"/>
  <c r="T9" i="14"/>
  <c r="J9" i="14"/>
  <c r="B6" i="14"/>
  <c r="W6" i="13"/>
  <c r="B3" i="13"/>
  <c r="U5" i="12"/>
  <c r="T5" i="12"/>
  <c r="I5" i="12"/>
  <c r="B78" i="11"/>
  <c r="B32" i="11"/>
  <c r="B9" i="11"/>
  <c r="B10" i="11" s="1"/>
  <c r="I73" i="10"/>
  <c r="G73" i="10" s="1"/>
  <c r="I51" i="10"/>
  <c r="L30" i="10"/>
  <c r="I29" i="10"/>
  <c r="I7" i="10"/>
  <c r="G7" i="10" s="1"/>
  <c r="B270" i="8"/>
  <c r="B248" i="8"/>
  <c r="K227" i="8"/>
  <c r="L228" i="8" s="1"/>
  <c r="B226" i="8"/>
  <c r="B204" i="8"/>
  <c r="B182" i="8"/>
  <c r="B160" i="8"/>
  <c r="B138" i="8"/>
  <c r="B116" i="8"/>
  <c r="S6" i="6"/>
  <c r="R6" i="6"/>
  <c r="Q6" i="6"/>
  <c r="K6" i="6"/>
  <c r="B3" i="6"/>
  <c r="U6" i="5"/>
  <c r="M6" i="5"/>
  <c r="L6" i="5"/>
  <c r="K6" i="5"/>
  <c r="J6" i="5"/>
  <c r="B3" i="5"/>
  <c r="L152" i="3"/>
  <c r="L79" i="3"/>
  <c r="L31" i="2"/>
  <c r="B39" i="1"/>
  <c r="B38" i="1"/>
  <c r="B37" i="1"/>
  <c r="M2" i="1"/>
  <c r="H108" i="30"/>
  <c r="L101" i="30"/>
  <c r="J194" i="30"/>
  <c r="L120" i="30"/>
  <c r="L14" i="30"/>
  <c r="J165" i="30"/>
  <c r="C20" i="28"/>
  <c r="L37" i="30"/>
  <c r="H107" i="30"/>
  <c r="J106" i="30"/>
  <c r="C132" i="28"/>
  <c r="L147" i="30"/>
  <c r="F102" i="30"/>
  <c r="L59" i="30"/>
  <c r="J19" i="30"/>
  <c r="L145" i="30"/>
  <c r="J101" i="30"/>
  <c r="J11" i="30"/>
  <c r="C76" i="28"/>
  <c r="C62" i="28"/>
  <c r="J18" i="30"/>
  <c r="J9" i="30"/>
  <c r="H85" i="25"/>
  <c r="F39" i="25"/>
  <c r="F85" i="25"/>
  <c r="J14" i="30"/>
  <c r="L55" i="30"/>
  <c r="F64" i="25"/>
  <c r="H59" i="25"/>
  <c r="H57" i="25"/>
  <c r="D48" i="26"/>
  <c r="H61" i="25"/>
  <c r="F59" i="25"/>
  <c r="F57" i="25"/>
  <c r="F55" i="25"/>
  <c r="F129" i="30"/>
  <c r="L34" i="30"/>
  <c r="C118" i="28"/>
  <c r="F76" i="26"/>
  <c r="C48" i="28"/>
  <c r="F160" i="27"/>
  <c r="H40" i="25"/>
  <c r="J21" i="25"/>
  <c r="H16" i="25"/>
  <c r="J108" i="24"/>
  <c r="F106" i="24"/>
  <c r="L103" i="24"/>
  <c r="L101" i="24"/>
  <c r="G62" i="27"/>
  <c r="G76" i="26"/>
  <c r="H65" i="25"/>
  <c r="F14" i="25"/>
  <c r="F12" i="25"/>
  <c r="F10" i="25"/>
  <c r="F62" i="27"/>
  <c r="H84" i="25"/>
  <c r="H81" i="25"/>
  <c r="H78" i="25"/>
  <c r="H62" i="25"/>
  <c r="F40" i="25"/>
  <c r="H31" i="25"/>
  <c r="H21" i="25"/>
  <c r="F16" i="25"/>
  <c r="H230" i="24"/>
  <c r="L186" i="24"/>
  <c r="E62" i="27"/>
  <c r="D76" i="26"/>
  <c r="F78" i="25"/>
  <c r="F65" i="25"/>
  <c r="F62" i="25"/>
  <c r="H33" i="25"/>
  <c r="J18" i="25"/>
  <c r="C62" i="27"/>
  <c r="F84" i="25"/>
  <c r="F81" i="25"/>
  <c r="H35" i="25"/>
  <c r="F31" i="25"/>
  <c r="F21" i="25"/>
  <c r="H18" i="25"/>
  <c r="H75" i="25"/>
  <c r="H42" i="25"/>
  <c r="H37" i="25"/>
  <c r="F33" i="25"/>
  <c r="L15" i="25"/>
  <c r="L13" i="25"/>
  <c r="L11" i="25"/>
  <c r="L9" i="25"/>
  <c r="G90" i="26"/>
  <c r="D62" i="26"/>
  <c r="H87" i="25"/>
  <c r="F35" i="25"/>
  <c r="F18" i="25"/>
  <c r="H105" i="24"/>
  <c r="F103" i="24"/>
  <c r="F90" i="26"/>
  <c r="F87" i="25"/>
  <c r="F75" i="25"/>
  <c r="H54" i="25"/>
  <c r="F42" i="25"/>
  <c r="F37" i="25"/>
  <c r="J20" i="25"/>
  <c r="J15" i="25"/>
  <c r="J13" i="25"/>
  <c r="J11" i="25"/>
  <c r="J9" i="25"/>
  <c r="H80" i="25"/>
  <c r="H64" i="25"/>
  <c r="H39" i="25"/>
  <c r="F174" i="24"/>
  <c r="D90" i="26"/>
  <c r="F80" i="25"/>
  <c r="F61" i="25"/>
  <c r="H56" i="25"/>
  <c r="F54" i="25"/>
  <c r="H20" i="25"/>
  <c r="H15" i="25"/>
  <c r="H13" i="25"/>
  <c r="H11" i="25"/>
  <c r="H9" i="25"/>
  <c r="H83" i="25"/>
  <c r="H77" i="25"/>
  <c r="J17" i="25"/>
  <c r="H240" i="24"/>
  <c r="J235" i="24"/>
  <c r="F56" i="25"/>
  <c r="F20" i="25"/>
  <c r="F15" i="25"/>
  <c r="F13" i="25"/>
  <c r="F11" i="25"/>
  <c r="F9" i="25"/>
  <c r="H86" i="25"/>
  <c r="F83" i="25"/>
  <c r="F77" i="25"/>
  <c r="H58" i="25"/>
  <c r="H41" i="25"/>
  <c r="H32" i="25"/>
  <c r="H17" i="25"/>
  <c r="J97" i="30"/>
  <c r="G118" i="26"/>
  <c r="H34" i="25"/>
  <c r="F118" i="26"/>
  <c r="G160" i="27"/>
  <c r="E104" i="26"/>
  <c r="F48" i="26"/>
  <c r="F20" i="26"/>
  <c r="J16" i="25"/>
  <c r="J229" i="24"/>
  <c r="F217" i="24"/>
  <c r="H173" i="24"/>
  <c r="H169" i="24"/>
  <c r="H166" i="24"/>
  <c r="F163" i="24"/>
  <c r="F149" i="24"/>
  <c r="H126" i="24"/>
  <c r="H121" i="24"/>
  <c r="D104" i="26"/>
  <c r="H79" i="25"/>
  <c r="H38" i="25"/>
  <c r="H10" i="25"/>
  <c r="H229" i="24"/>
  <c r="F189" i="24"/>
  <c r="F169" i="24"/>
  <c r="L98" i="24"/>
  <c r="H40" i="24"/>
  <c r="C104" i="26"/>
  <c r="L234" i="24"/>
  <c r="F229" i="24"/>
  <c r="J193" i="24"/>
  <c r="F173" i="24"/>
  <c r="J105" i="24"/>
  <c r="L100" i="24"/>
  <c r="J19" i="24"/>
  <c r="F17" i="24"/>
  <c r="F79" i="25"/>
  <c r="H53" i="25"/>
  <c r="F38" i="25"/>
  <c r="L14" i="25"/>
  <c r="F240" i="24"/>
  <c r="L165" i="24"/>
  <c r="H108" i="24"/>
  <c r="J98" i="24"/>
  <c r="J42" i="24"/>
  <c r="F40" i="24"/>
  <c r="L37" i="24"/>
  <c r="L35" i="24"/>
  <c r="L33" i="24"/>
  <c r="L31" i="24"/>
  <c r="H60" i="25"/>
  <c r="J233" i="24"/>
  <c r="H193" i="24"/>
  <c r="L187" i="24"/>
  <c r="L168" i="24"/>
  <c r="H165" i="24"/>
  <c r="L102" i="24"/>
  <c r="J100" i="24"/>
  <c r="H19" i="24"/>
  <c r="L14" i="24"/>
  <c r="L12" i="24"/>
  <c r="L10" i="24"/>
  <c r="F53" i="25"/>
  <c r="J14" i="25"/>
  <c r="H233" i="24"/>
  <c r="F108" i="24"/>
  <c r="F105" i="24"/>
  <c r="H98" i="24"/>
  <c r="H42" i="24"/>
  <c r="J37" i="24"/>
  <c r="J35" i="24"/>
  <c r="J33" i="24"/>
  <c r="J31" i="24"/>
  <c r="F60" i="25"/>
  <c r="H36" i="25"/>
  <c r="J239" i="24"/>
  <c r="F233" i="24"/>
  <c r="J187" i="24"/>
  <c r="J195" i="24"/>
  <c r="H172" i="24"/>
  <c r="J168" i="24"/>
  <c r="F165" i="24"/>
  <c r="J151" i="24"/>
  <c r="L120" i="24"/>
  <c r="J102" i="24"/>
  <c r="H100" i="24"/>
  <c r="J21" i="24"/>
  <c r="F19" i="24"/>
  <c r="J16" i="24"/>
  <c r="J14" i="24"/>
  <c r="J12" i="24"/>
  <c r="J10" i="24"/>
  <c r="F86" i="25"/>
  <c r="H14" i="25"/>
  <c r="L191" i="24"/>
  <c r="F172" i="24"/>
  <c r="F98" i="24"/>
  <c r="F42" i="24"/>
  <c r="J39" i="24"/>
  <c r="H37" i="24"/>
  <c r="H35" i="24"/>
  <c r="H33" i="24"/>
  <c r="H31" i="24"/>
  <c r="H76" i="25"/>
  <c r="F36" i="25"/>
  <c r="H239" i="24"/>
  <c r="J191" i="24"/>
  <c r="H187" i="24"/>
  <c r="J171" i="24"/>
  <c r="H168" i="24"/>
  <c r="F128" i="24"/>
  <c r="H120" i="24"/>
  <c r="J107" i="24"/>
  <c r="H102" i="24"/>
  <c r="F100" i="24"/>
  <c r="H21" i="24"/>
  <c r="H16" i="24"/>
  <c r="H14" i="24"/>
  <c r="H12" i="24"/>
  <c r="H10" i="24"/>
  <c r="F76" i="25"/>
  <c r="F58" i="25"/>
  <c r="J241" i="24"/>
  <c r="H171" i="24"/>
  <c r="L147" i="24"/>
  <c r="J144" i="24"/>
  <c r="L122" i="24"/>
  <c r="J104" i="24"/>
  <c r="H39" i="24"/>
  <c r="F37" i="24"/>
  <c r="F35" i="24"/>
  <c r="F33" i="24"/>
  <c r="F31" i="24"/>
  <c r="L12" i="25"/>
  <c r="J237" i="24"/>
  <c r="L232" i="24"/>
  <c r="H191" i="24"/>
  <c r="F187" i="24"/>
  <c r="F171" i="24"/>
  <c r="L164" i="24"/>
  <c r="H107" i="24"/>
  <c r="F102" i="24"/>
  <c r="F21" i="24"/>
  <c r="J18" i="24"/>
  <c r="F16" i="24"/>
  <c r="F14" i="24"/>
  <c r="F12" i="24"/>
  <c r="F10" i="24"/>
  <c r="H43" i="25"/>
  <c r="J19" i="25"/>
  <c r="H237" i="24"/>
  <c r="J196" i="24"/>
  <c r="J175" i="24"/>
  <c r="L167" i="24"/>
  <c r="F175" i="24"/>
  <c r="J150" i="24"/>
  <c r="J147" i="24"/>
  <c r="H144" i="24"/>
  <c r="L141" i="24"/>
  <c r="H122" i="24"/>
  <c r="H104" i="24"/>
  <c r="L97" i="24"/>
  <c r="J41" i="24"/>
  <c r="F39" i="24"/>
  <c r="J12" i="25"/>
  <c r="J231" i="24"/>
  <c r="J219" i="24"/>
  <c r="J208" i="24"/>
  <c r="H196" i="24"/>
  <c r="F191" i="24"/>
  <c r="H167" i="24"/>
  <c r="J164" i="24"/>
  <c r="H131" i="24"/>
  <c r="J127" i="24"/>
  <c r="F107" i="24"/>
  <c r="L99" i="24"/>
  <c r="J97" i="24"/>
  <c r="H18" i="24"/>
  <c r="H82" i="25"/>
  <c r="F43" i="25"/>
  <c r="F34" i="25"/>
  <c r="H19" i="25"/>
  <c r="F237" i="24"/>
  <c r="H231" i="24"/>
  <c r="H219" i="24"/>
  <c r="H208" i="24"/>
  <c r="L185" i="24"/>
  <c r="H175" i="24"/>
  <c r="F167" i="24"/>
  <c r="J153" i="24"/>
  <c r="H150" i="24"/>
  <c r="F147" i="24"/>
  <c r="F144" i="24"/>
  <c r="J141" i="24"/>
  <c r="F131" i="24"/>
  <c r="L124" i="24"/>
  <c r="F122" i="24"/>
  <c r="L119" i="24"/>
  <c r="F104" i="24"/>
  <c r="J99" i="24"/>
  <c r="H41" i="24"/>
  <c r="L36" i="24"/>
  <c r="L34" i="24"/>
  <c r="F82" i="25"/>
  <c r="F41" i="25"/>
  <c r="H12" i="25"/>
  <c r="F231" i="24"/>
  <c r="F196" i="24"/>
  <c r="J170" i="24"/>
  <c r="H164" i="24"/>
  <c r="J130" i="24"/>
  <c r="H127" i="24"/>
  <c r="J101" i="24"/>
  <c r="H97" i="24"/>
  <c r="F19" i="25"/>
  <c r="F219" i="24"/>
  <c r="L212" i="24"/>
  <c r="F208" i="24"/>
  <c r="L189" i="24"/>
  <c r="J185" i="24"/>
  <c r="H153" i="24"/>
  <c r="F150" i="24"/>
  <c r="J146" i="24"/>
  <c r="F141" i="24"/>
  <c r="H124" i="24"/>
  <c r="J119" i="24"/>
  <c r="J109" i="24"/>
  <c r="H99" i="24"/>
  <c r="F17" i="25"/>
  <c r="J212" i="24"/>
  <c r="J174" i="24"/>
  <c r="H170" i="24"/>
  <c r="L166" i="24"/>
  <c r="H130" i="24"/>
  <c r="F127" i="24"/>
  <c r="L121" i="24"/>
  <c r="J106" i="24"/>
  <c r="H101" i="24"/>
  <c r="F97" i="24"/>
  <c r="H20" i="24"/>
  <c r="J15" i="24"/>
  <c r="J13" i="24"/>
  <c r="J11" i="24"/>
  <c r="J9" i="24"/>
  <c r="F36" i="24"/>
  <c r="F15" i="24"/>
  <c r="H217" i="24"/>
  <c r="F185" i="24"/>
  <c r="J34" i="24"/>
  <c r="J20" i="24"/>
  <c r="F9" i="24"/>
  <c r="H212" i="24"/>
  <c r="H34" i="24"/>
  <c r="L13" i="24"/>
  <c r="F32" i="25"/>
  <c r="F212" i="24"/>
  <c r="F34" i="24"/>
  <c r="F20" i="24"/>
  <c r="F130" i="24"/>
  <c r="H109" i="24"/>
  <c r="J43" i="24"/>
  <c r="L32" i="24"/>
  <c r="H13" i="24"/>
  <c r="F153" i="24"/>
  <c r="H43" i="24"/>
  <c r="J32" i="24"/>
  <c r="H235" i="24"/>
  <c r="F109" i="24"/>
  <c r="H32" i="24"/>
  <c r="F13" i="24"/>
  <c r="F235" i="24"/>
  <c r="F43" i="24"/>
  <c r="F18" i="24"/>
  <c r="H21" i="22"/>
  <c r="L10" i="25"/>
  <c r="J173" i="24"/>
  <c r="H106" i="24"/>
  <c r="F41" i="24"/>
  <c r="F32" i="24"/>
  <c r="L11" i="24"/>
  <c r="G21" i="22"/>
  <c r="F124" i="24"/>
  <c r="G20" i="26"/>
  <c r="J10" i="25"/>
  <c r="L230" i="24"/>
  <c r="H214" i="24"/>
  <c r="H149" i="24"/>
  <c r="J103" i="24"/>
  <c r="J17" i="24"/>
  <c r="E21" i="22"/>
  <c r="H63" i="25"/>
  <c r="H146" i="24"/>
  <c r="L123" i="24"/>
  <c r="J40" i="24"/>
  <c r="H11" i="24"/>
  <c r="D21" i="22"/>
  <c r="L169" i="24"/>
  <c r="H103" i="24"/>
  <c r="J38" i="24"/>
  <c r="H17" i="24"/>
  <c r="H49" i="22"/>
  <c r="C21" i="22"/>
  <c r="F63" i="25"/>
  <c r="J264" i="24"/>
  <c r="H194" i="24"/>
  <c r="F146" i="24"/>
  <c r="J121" i="24"/>
  <c r="H38" i="24"/>
  <c r="F11" i="24"/>
  <c r="G104" i="26"/>
  <c r="H264" i="24"/>
  <c r="F194" i="24"/>
  <c r="J166" i="24"/>
  <c r="L143" i="24"/>
  <c r="F101" i="24"/>
  <c r="L15" i="24"/>
  <c r="H133" i="22"/>
  <c r="F104" i="26"/>
  <c r="J189" i="24"/>
  <c r="H119" i="24"/>
  <c r="F38" i="24"/>
  <c r="L9" i="24"/>
  <c r="G133" i="22"/>
  <c r="H119" i="22"/>
  <c r="H55" i="25"/>
  <c r="L163" i="24"/>
  <c r="J143" i="24"/>
  <c r="F99" i="24"/>
  <c r="J36" i="24"/>
  <c r="H161" i="22"/>
  <c r="F133" i="22"/>
  <c r="G119" i="22"/>
  <c r="F258" i="24"/>
  <c r="H189" i="24"/>
  <c r="H163" i="24"/>
  <c r="F119" i="24"/>
  <c r="H36" i="24"/>
  <c r="H15" i="24"/>
  <c r="G161" i="22"/>
  <c r="F119" i="22"/>
  <c r="H91" i="22"/>
  <c r="C49" i="22"/>
  <c r="H63" i="22"/>
  <c r="G63" i="22"/>
  <c r="F63" i="22"/>
  <c r="E63" i="22"/>
  <c r="D63" i="22"/>
  <c r="M22" i="21"/>
  <c r="E119" i="22"/>
  <c r="H9" i="24"/>
  <c r="G91" i="22"/>
  <c r="F49" i="22"/>
  <c r="F35" i="22"/>
  <c r="T21" i="22"/>
  <c r="E78" i="21"/>
  <c r="F161" i="22"/>
  <c r="E49" i="22"/>
  <c r="D78" i="21"/>
  <c r="H185" i="24"/>
  <c r="D49" i="22"/>
  <c r="F78" i="21"/>
  <c r="F64" i="21"/>
  <c r="G35" i="22"/>
  <c r="G49" i="22"/>
  <c r="H35" i="22"/>
  <c r="O48" i="18"/>
  <c r="L48" i="18"/>
  <c r="O20" i="18"/>
  <c r="O8" i="18"/>
  <c r="C161" i="17"/>
  <c r="O62" i="18"/>
  <c r="L78" i="18"/>
  <c r="O76" i="18"/>
  <c r="G20" i="18"/>
  <c r="O22" i="18"/>
  <c r="O36" i="18"/>
  <c r="D20" i="18"/>
  <c r="L36" i="18"/>
  <c r="K22" i="18"/>
  <c r="C135" i="17"/>
  <c r="C64" i="18"/>
  <c r="D50" i="18"/>
  <c r="O34" i="18"/>
  <c r="C50" i="18"/>
  <c r="L34" i="18"/>
  <c r="K34" i="18"/>
  <c r="C92" i="18"/>
  <c r="F77" i="17"/>
  <c r="D9" i="17"/>
  <c r="C9" i="17"/>
  <c r="G36" i="18"/>
  <c r="D51" i="17"/>
  <c r="D23" i="17"/>
  <c r="C51" i="17"/>
  <c r="C23" i="17"/>
  <c r="D36" i="18"/>
  <c r="C36" i="18"/>
  <c r="D161" i="17"/>
  <c r="G119" i="17"/>
  <c r="C63" i="17"/>
  <c r="G35" i="17"/>
  <c r="D21" i="17"/>
  <c r="F93" i="17"/>
  <c r="C21" i="17"/>
  <c r="D119" i="17"/>
  <c r="G105" i="17"/>
  <c r="D35" i="17"/>
  <c r="F22" i="18"/>
  <c r="T8" i="18"/>
  <c r="C119" i="17"/>
  <c r="F105" i="17"/>
  <c r="G79" i="17"/>
  <c r="G37" i="17"/>
  <c r="U90" i="18"/>
  <c r="U62" i="18"/>
  <c r="S8" i="18"/>
  <c r="L106" i="18"/>
  <c r="F79" i="17"/>
  <c r="F37" i="17"/>
  <c r="M90" i="18"/>
  <c r="M48" i="18"/>
  <c r="C22" i="18"/>
  <c r="C105" i="17"/>
  <c r="D79" i="17"/>
  <c r="G65" i="17"/>
  <c r="C79" i="17"/>
  <c r="F65" i="17"/>
  <c r="U20" i="18"/>
  <c r="D8" i="18"/>
  <c r="D91" i="17"/>
  <c r="C91" i="17"/>
  <c r="G163" i="14"/>
  <c r="G93" i="14"/>
  <c r="G49" i="17"/>
  <c r="F163" i="14"/>
  <c r="F93" i="14"/>
  <c r="T134" i="18"/>
  <c r="F35" i="15"/>
  <c r="E163" i="14"/>
  <c r="M34" i="18"/>
  <c r="E79" i="17"/>
  <c r="C37" i="17"/>
  <c r="D163" i="14"/>
  <c r="D93" i="14"/>
  <c r="S62" i="18"/>
  <c r="D22" i="18"/>
  <c r="G149" i="14"/>
  <c r="G79" i="14"/>
  <c r="E121" i="17"/>
  <c r="D121" i="17"/>
  <c r="E9" i="17"/>
  <c r="E149" i="14"/>
  <c r="E79" i="14"/>
  <c r="O118" i="18"/>
  <c r="D105" i="17"/>
  <c r="D149" i="14"/>
  <c r="G119" i="15"/>
  <c r="G77" i="15"/>
  <c r="G135" i="17"/>
  <c r="S21" i="16"/>
  <c r="R21" i="16"/>
  <c r="R9" i="16"/>
  <c r="C77" i="15"/>
  <c r="D78" i="18"/>
  <c r="D65" i="17"/>
  <c r="Q21" i="16"/>
  <c r="P9" i="16"/>
  <c r="G147" i="15"/>
  <c r="C65" i="17"/>
  <c r="P21" i="16"/>
  <c r="O9" i="16"/>
  <c r="F147" i="15"/>
  <c r="E135" i="16"/>
  <c r="C49" i="16"/>
  <c r="E23" i="16"/>
  <c r="G107" i="14"/>
  <c r="D23" i="16"/>
  <c r="F149" i="14"/>
  <c r="F107" i="14"/>
  <c r="D23" i="14"/>
  <c r="N48" i="18"/>
  <c r="E107" i="14"/>
  <c r="D107" i="14"/>
  <c r="D91" i="16"/>
  <c r="D37" i="16"/>
  <c r="O21" i="16"/>
  <c r="C91" i="16"/>
  <c r="C37" i="16"/>
  <c r="G65" i="14"/>
  <c r="G121" i="14"/>
  <c r="F65" i="14"/>
  <c r="S20" i="18"/>
  <c r="C161" i="15"/>
  <c r="F121" i="14"/>
  <c r="E65" i="14"/>
  <c r="G63" i="15"/>
  <c r="E121" i="14"/>
  <c r="F79" i="14"/>
  <c r="D65" i="14"/>
  <c r="E147" i="15"/>
  <c r="U21" i="15"/>
  <c r="D121" i="14"/>
  <c r="D79" i="14"/>
  <c r="G51" i="14"/>
  <c r="T21" i="15"/>
  <c r="F51" i="14"/>
  <c r="E119" i="15"/>
  <c r="S21" i="15"/>
  <c r="E51" i="14"/>
  <c r="G37" i="14"/>
  <c r="Q23" i="14"/>
  <c r="R21" i="15"/>
  <c r="G135" i="14"/>
  <c r="D51" i="14"/>
  <c r="F37" i="14"/>
  <c r="P23" i="14"/>
  <c r="C20" i="13"/>
  <c r="F77" i="15"/>
  <c r="Q21" i="15"/>
  <c r="F135" i="14"/>
  <c r="E37" i="14"/>
  <c r="O23" i="14"/>
  <c r="E105" i="15"/>
  <c r="E77" i="15"/>
  <c r="E135" i="14"/>
  <c r="E93" i="14"/>
  <c r="D37" i="14"/>
  <c r="C105" i="15"/>
  <c r="G49" i="15"/>
  <c r="G21" i="15"/>
  <c r="D135" i="14"/>
  <c r="C132" i="13"/>
  <c r="R21" i="17"/>
  <c r="F105" i="16"/>
  <c r="F49" i="15"/>
  <c r="C21" i="15"/>
  <c r="F35" i="16"/>
  <c r="G23" i="14"/>
  <c r="M20" i="9"/>
  <c r="M16" i="9"/>
  <c r="M12" i="9"/>
  <c r="F23" i="14"/>
  <c r="E23" i="14"/>
  <c r="D8" i="11"/>
  <c r="K20" i="9"/>
  <c r="O21" i="9"/>
  <c r="E19" i="9"/>
  <c r="O17" i="9"/>
  <c r="E15" i="9"/>
  <c r="O13" i="9"/>
  <c r="E11" i="9"/>
  <c r="O9" i="9"/>
  <c r="D34" i="13"/>
  <c r="I20" i="9"/>
  <c r="I16" i="9"/>
  <c r="I12" i="9"/>
  <c r="E132" i="13"/>
  <c r="E48" i="13"/>
  <c r="C34" i="13"/>
  <c r="M21" i="9"/>
  <c r="M17" i="9"/>
  <c r="M13" i="9"/>
  <c r="M9" i="9"/>
  <c r="D48" i="13"/>
  <c r="G20" i="9"/>
  <c r="Q18" i="9"/>
  <c r="G16" i="9"/>
  <c r="Q14" i="9"/>
  <c r="G12" i="9"/>
  <c r="Q10" i="9"/>
  <c r="E160" i="13"/>
  <c r="D90" i="13"/>
  <c r="C48" i="13"/>
  <c r="L81" i="10"/>
  <c r="L79" i="10"/>
  <c r="L77" i="10"/>
  <c r="L75" i="10"/>
  <c r="K21" i="9"/>
  <c r="K17" i="9"/>
  <c r="K13" i="9"/>
  <c r="K9" i="9"/>
  <c r="D160" i="13"/>
  <c r="L58" i="10"/>
  <c r="L56" i="10"/>
  <c r="L54" i="10"/>
  <c r="E20" i="9"/>
  <c r="O18" i="9"/>
  <c r="E16" i="9"/>
  <c r="O14" i="9"/>
  <c r="E12" i="9"/>
  <c r="U56" i="12"/>
  <c r="U49" i="12"/>
  <c r="L37" i="10"/>
  <c r="L35" i="10"/>
  <c r="L33" i="10"/>
  <c r="G104" i="13"/>
  <c r="M18" i="9"/>
  <c r="M14" i="9"/>
  <c r="M10" i="9"/>
  <c r="C160" i="13"/>
  <c r="G62" i="13"/>
  <c r="E20" i="13"/>
  <c r="U50" i="12"/>
  <c r="F62" i="13"/>
  <c r="D20" i="13"/>
  <c r="E62" i="13"/>
  <c r="D62" i="13"/>
  <c r="U54" i="12"/>
  <c r="U51" i="12"/>
  <c r="O90" i="18"/>
  <c r="E147" i="16"/>
  <c r="G51" i="16"/>
  <c r="C146" i="13"/>
  <c r="C62" i="13"/>
  <c r="U57" i="12"/>
  <c r="F51" i="16"/>
  <c r="L36" i="10"/>
  <c r="L32" i="10"/>
  <c r="O20" i="9"/>
  <c r="Q15" i="9"/>
  <c r="M11" i="9"/>
  <c r="J43" i="8"/>
  <c r="F41" i="8"/>
  <c r="J38" i="8"/>
  <c r="J36" i="8"/>
  <c r="J34" i="8"/>
  <c r="J32" i="8"/>
  <c r="G18" i="9"/>
  <c r="Q13" i="9"/>
  <c r="I9" i="9"/>
  <c r="H20" i="8"/>
  <c r="J15" i="8"/>
  <c r="J13" i="8"/>
  <c r="J11" i="8"/>
  <c r="J9" i="8"/>
  <c r="L80" i="10"/>
  <c r="L31" i="10"/>
  <c r="O15" i="9"/>
  <c r="K11" i="9"/>
  <c r="H43" i="8"/>
  <c r="H38" i="8"/>
  <c r="H36" i="8"/>
  <c r="H34" i="8"/>
  <c r="H32" i="8"/>
  <c r="A12" i="12"/>
  <c r="E18" i="9"/>
  <c r="I13" i="9"/>
  <c r="G9" i="9"/>
  <c r="F20" i="8"/>
  <c r="J17" i="8"/>
  <c r="H15" i="8"/>
  <c r="H13" i="8"/>
  <c r="H11" i="8"/>
  <c r="H9" i="8"/>
  <c r="Q19" i="9"/>
  <c r="M15" i="9"/>
  <c r="G13" i="9"/>
  <c r="I11" i="9"/>
  <c r="F43" i="8"/>
  <c r="J40" i="8"/>
  <c r="F38" i="8"/>
  <c r="F36" i="8"/>
  <c r="F34" i="8"/>
  <c r="F32" i="8"/>
  <c r="Q17" i="9"/>
  <c r="G11" i="9"/>
  <c r="E9" i="9"/>
  <c r="H17" i="8"/>
  <c r="F15" i="8"/>
  <c r="F13" i="8"/>
  <c r="F11" i="8"/>
  <c r="F9" i="8"/>
  <c r="O19" i="9"/>
  <c r="K15" i="9"/>
  <c r="E13" i="9"/>
  <c r="H40" i="8"/>
  <c r="I17" i="9"/>
  <c r="O10" i="9"/>
  <c r="J19" i="8"/>
  <c r="F17" i="8"/>
  <c r="U52" i="12"/>
  <c r="M19" i="9"/>
  <c r="G17" i="9"/>
  <c r="I15" i="9"/>
  <c r="J42" i="8"/>
  <c r="F40" i="8"/>
  <c r="L37" i="8"/>
  <c r="L35" i="8"/>
  <c r="L33" i="8"/>
  <c r="L31" i="8"/>
  <c r="L78" i="10"/>
  <c r="L55" i="10"/>
  <c r="G15" i="9"/>
  <c r="Q12" i="9"/>
  <c r="H19" i="8"/>
  <c r="L14" i="8"/>
  <c r="L12" i="8"/>
  <c r="L10" i="8"/>
  <c r="L59" i="10"/>
  <c r="L34" i="10"/>
  <c r="J14" i="10"/>
  <c r="K19" i="9"/>
  <c r="E17" i="9"/>
  <c r="K10" i="9"/>
  <c r="H42" i="8"/>
  <c r="J37" i="8"/>
  <c r="J35" i="8"/>
  <c r="J33" i="8"/>
  <c r="J31" i="8"/>
  <c r="O12" i="9"/>
  <c r="J21" i="8"/>
  <c r="F19" i="8"/>
  <c r="J16" i="8"/>
  <c r="J14" i="8"/>
  <c r="J12" i="8"/>
  <c r="J10" i="8"/>
  <c r="H83" i="10"/>
  <c r="H78" i="10"/>
  <c r="J18" i="10"/>
  <c r="J10" i="10"/>
  <c r="I21" i="9"/>
  <c r="I19" i="9"/>
  <c r="I10" i="9"/>
  <c r="F42" i="8"/>
  <c r="K12" i="9"/>
  <c r="G10" i="9"/>
  <c r="H39" i="8"/>
  <c r="F37" i="8"/>
  <c r="F35" i="8"/>
  <c r="F33" i="8"/>
  <c r="F31" i="8"/>
  <c r="E21" i="9"/>
  <c r="O16" i="9"/>
  <c r="I14" i="9"/>
  <c r="F21" i="8"/>
  <c r="J18" i="8"/>
  <c r="F16" i="8"/>
  <c r="F14" i="8"/>
  <c r="F12" i="8"/>
  <c r="J21" i="10"/>
  <c r="K18" i="9"/>
  <c r="G14" i="9"/>
  <c r="H82" i="10"/>
  <c r="Q20" i="9"/>
  <c r="K16" i="9"/>
  <c r="O11" i="9"/>
  <c r="Q9" i="9"/>
  <c r="H76" i="10"/>
  <c r="L57" i="10"/>
  <c r="L53" i="10"/>
  <c r="J16" i="10"/>
  <c r="I18" i="9"/>
  <c r="E14" i="9"/>
  <c r="Q16" i="9"/>
  <c r="H37" i="8"/>
  <c r="D54" i="12"/>
  <c r="L9" i="8"/>
  <c r="K14" i="9"/>
  <c r="L15" i="8"/>
  <c r="L36" i="8"/>
  <c r="H14" i="8"/>
  <c r="Q11" i="9"/>
  <c r="D56" i="12"/>
  <c r="L76" i="10"/>
  <c r="H35" i="8"/>
  <c r="H21" i="8"/>
  <c r="D55" i="12"/>
  <c r="H85" i="10"/>
  <c r="E10" i="9"/>
  <c r="L233" i="8"/>
  <c r="L13" i="8"/>
  <c r="L124" i="8"/>
  <c r="J41" i="8"/>
  <c r="L34" i="8"/>
  <c r="J20" i="8"/>
  <c r="H12" i="8"/>
  <c r="L186" i="8"/>
  <c r="L122" i="8"/>
  <c r="H41" i="8"/>
  <c r="H33" i="8"/>
  <c r="F39" i="8"/>
  <c r="F10" i="8"/>
  <c r="F17" i="2"/>
  <c r="G21" i="9"/>
  <c r="G19" i="9"/>
  <c r="H16" i="8"/>
  <c r="L32" i="8"/>
  <c r="H18" i="2"/>
  <c r="H31" i="8"/>
  <c r="H18" i="8"/>
  <c r="L213" i="8"/>
  <c r="L120" i="8"/>
  <c r="G18" i="2"/>
  <c r="F18" i="8"/>
  <c r="F18" i="2"/>
  <c r="E18" i="2"/>
  <c r="L11" i="8"/>
  <c r="E17" i="2"/>
  <c r="J39" i="8"/>
  <c r="H10" i="8"/>
  <c r="H17" i="2"/>
  <c r="G17" i="2"/>
  <c r="L22" i="2" l="1"/>
  <c r="G186" i="3"/>
  <c r="L59" i="2"/>
  <c r="K162" i="3"/>
  <c r="J162" i="3"/>
  <c r="L162" i="3"/>
  <c r="L70" i="3"/>
  <c r="K70" i="3"/>
  <c r="J70" i="3"/>
  <c r="L83" i="3"/>
  <c r="K83" i="3"/>
  <c r="J83" i="3"/>
  <c r="F117" i="3"/>
  <c r="F191" i="3"/>
  <c r="L9" i="2"/>
  <c r="I17" i="2"/>
  <c r="L14" i="2"/>
  <c r="G68" i="2"/>
  <c r="K17" i="3"/>
  <c r="L17" i="3"/>
  <c r="J17" i="3"/>
  <c r="L98" i="3"/>
  <c r="J98" i="3"/>
  <c r="K98" i="3"/>
  <c r="G117" i="3"/>
  <c r="L172" i="3"/>
  <c r="K172" i="3"/>
  <c r="J172" i="3"/>
  <c r="G191" i="3"/>
  <c r="L217" i="3"/>
  <c r="K217" i="3"/>
  <c r="J217" i="3"/>
  <c r="K59" i="3"/>
  <c r="J59" i="3"/>
  <c r="K58" i="3"/>
  <c r="J58" i="3"/>
  <c r="H117" i="3"/>
  <c r="H191" i="3"/>
  <c r="W44" i="5"/>
  <c r="V44" i="5"/>
  <c r="U44" i="5"/>
  <c r="T44" i="5"/>
  <c r="S44" i="5"/>
  <c r="M51" i="5"/>
  <c r="L51" i="5"/>
  <c r="K51" i="5"/>
  <c r="J51" i="5"/>
  <c r="I51" i="5"/>
  <c r="L7" i="3"/>
  <c r="K7" i="3"/>
  <c r="J7" i="3"/>
  <c r="L65" i="3"/>
  <c r="K65" i="3"/>
  <c r="J65" i="3"/>
  <c r="L91" i="3"/>
  <c r="K91" i="3"/>
  <c r="J91" i="3"/>
  <c r="I119" i="3"/>
  <c r="L108" i="3"/>
  <c r="K108" i="3"/>
  <c r="J108" i="3"/>
  <c r="L157" i="3"/>
  <c r="K157" i="3"/>
  <c r="J157" i="3"/>
  <c r="I193" i="3"/>
  <c r="L182" i="3"/>
  <c r="K182" i="3"/>
  <c r="J182" i="3"/>
  <c r="M13" i="5"/>
  <c r="L13" i="5"/>
  <c r="K13" i="5"/>
  <c r="J13" i="5"/>
  <c r="I13" i="5"/>
  <c r="W22" i="5"/>
  <c r="V22" i="5"/>
  <c r="U22" i="5"/>
  <c r="T22" i="5"/>
  <c r="S22" i="5"/>
  <c r="M32" i="5"/>
  <c r="L32" i="5"/>
  <c r="K32" i="5"/>
  <c r="J32" i="5"/>
  <c r="I32" i="5"/>
  <c r="S22" i="6"/>
  <c r="R22" i="6"/>
  <c r="Q22" i="6"/>
  <c r="K39" i="6"/>
  <c r="J39" i="6"/>
  <c r="I39" i="6"/>
  <c r="W38" i="5"/>
  <c r="S38" i="5"/>
  <c r="V38" i="5"/>
  <c r="U38" i="5"/>
  <c r="T38" i="5"/>
  <c r="H193" i="3"/>
  <c r="S10" i="6"/>
  <c r="R10" i="6"/>
  <c r="Q10" i="6"/>
  <c r="L23" i="2"/>
  <c r="L136" i="3"/>
  <c r="K136" i="3"/>
  <c r="J136" i="3"/>
  <c r="E186" i="3"/>
  <c r="L210" i="3"/>
  <c r="K210" i="3"/>
  <c r="J210" i="3"/>
  <c r="K48" i="6"/>
  <c r="J48" i="6"/>
  <c r="I48" i="6"/>
  <c r="M48" i="5"/>
  <c r="I48" i="5"/>
  <c r="L48" i="5"/>
  <c r="K48" i="5"/>
  <c r="J48" i="5"/>
  <c r="M29" i="5"/>
  <c r="L29" i="5"/>
  <c r="K29" i="5"/>
  <c r="J29" i="5"/>
  <c r="I29" i="5"/>
  <c r="L93" i="3"/>
  <c r="K93" i="3"/>
  <c r="J93" i="3"/>
  <c r="F186" i="3"/>
  <c r="K42" i="3"/>
  <c r="J42" i="3"/>
  <c r="K48" i="3"/>
  <c r="J48" i="3"/>
  <c r="K54" i="3"/>
  <c r="J54" i="3"/>
  <c r="L67" i="3"/>
  <c r="K67" i="3"/>
  <c r="J67" i="3"/>
  <c r="G119" i="3"/>
  <c r="E120" i="3"/>
  <c r="E193" i="3"/>
  <c r="L167" i="3"/>
  <c r="K167" i="3"/>
  <c r="J167" i="3"/>
  <c r="L212" i="3"/>
  <c r="K212" i="3"/>
  <c r="J212" i="3"/>
  <c r="J72" i="3"/>
  <c r="L72" i="3"/>
  <c r="K72" i="3"/>
  <c r="L10" i="2"/>
  <c r="H119" i="3"/>
  <c r="F193" i="3"/>
  <c r="H186" i="3"/>
  <c r="M8" i="5"/>
  <c r="L8" i="5"/>
  <c r="K8" i="5"/>
  <c r="J8" i="5"/>
  <c r="I8" i="5"/>
  <c r="M27" i="5"/>
  <c r="L27" i="5"/>
  <c r="K27" i="5"/>
  <c r="J27" i="5"/>
  <c r="I27" i="5"/>
  <c r="W39" i="5"/>
  <c r="V39" i="5"/>
  <c r="U39" i="5"/>
  <c r="T39" i="5"/>
  <c r="S39" i="5"/>
  <c r="M49" i="5"/>
  <c r="L49" i="5"/>
  <c r="K49" i="5"/>
  <c r="J49" i="5"/>
  <c r="I49" i="5"/>
  <c r="M52" i="5"/>
  <c r="L52" i="5"/>
  <c r="K52" i="5"/>
  <c r="J52" i="5"/>
  <c r="I52" i="5"/>
  <c r="J12" i="3"/>
  <c r="L12" i="3"/>
  <c r="K12" i="3"/>
  <c r="K46" i="3"/>
  <c r="J46" i="3"/>
  <c r="L12" i="2"/>
  <c r="L62" i="2"/>
  <c r="J143" i="3"/>
  <c r="K143" i="3"/>
  <c r="L143" i="3"/>
  <c r="L86" i="3"/>
  <c r="K86" i="3"/>
  <c r="J86" i="3"/>
  <c r="L101" i="3"/>
  <c r="K101" i="3"/>
  <c r="J101" i="3"/>
  <c r="E122" i="3"/>
  <c r="E196" i="3"/>
  <c r="M11" i="5"/>
  <c r="L11" i="5"/>
  <c r="K11" i="5"/>
  <c r="J11" i="5"/>
  <c r="I11" i="5"/>
  <c r="M30" i="5"/>
  <c r="L30" i="5"/>
  <c r="K30" i="5"/>
  <c r="J30" i="5"/>
  <c r="I30" i="5"/>
  <c r="W42" i="5"/>
  <c r="V42" i="5"/>
  <c r="U42" i="5"/>
  <c r="T42" i="5"/>
  <c r="S42" i="5"/>
  <c r="K12" i="6"/>
  <c r="J12" i="6"/>
  <c r="I12" i="6"/>
  <c r="M10" i="5"/>
  <c r="L10" i="5"/>
  <c r="K10" i="5"/>
  <c r="J10" i="5"/>
  <c r="I10" i="5"/>
  <c r="L7" i="2"/>
  <c r="K55" i="3"/>
  <c r="J55" i="3"/>
  <c r="L62" i="3"/>
  <c r="K62" i="3"/>
  <c r="J62" i="3"/>
  <c r="F196" i="3"/>
  <c r="K32" i="6"/>
  <c r="J32" i="6"/>
  <c r="I32" i="6"/>
  <c r="G193" i="3"/>
  <c r="W41" i="5"/>
  <c r="V41" i="5"/>
  <c r="U41" i="5"/>
  <c r="T41" i="5"/>
  <c r="S41" i="5"/>
  <c r="L15" i="2"/>
  <c r="I18" i="2"/>
  <c r="L37" i="3"/>
  <c r="K37" i="3"/>
  <c r="J37" i="3"/>
  <c r="I114" i="3"/>
  <c r="L103" i="3"/>
  <c r="K103" i="3"/>
  <c r="J103" i="3"/>
  <c r="G122" i="3"/>
  <c r="M46" i="5"/>
  <c r="L46" i="5"/>
  <c r="K46" i="5"/>
  <c r="J46" i="5"/>
  <c r="I46" i="5"/>
  <c r="S51" i="6"/>
  <c r="R51" i="6"/>
  <c r="Q51" i="6"/>
  <c r="L74" i="2"/>
  <c r="K88" i="3"/>
  <c r="J88" i="3"/>
  <c r="L88" i="3"/>
  <c r="H122" i="3"/>
  <c r="W19" i="5"/>
  <c r="V19" i="5"/>
  <c r="U19" i="5"/>
  <c r="T19" i="5"/>
  <c r="S19" i="5"/>
  <c r="L32" i="3"/>
  <c r="J32" i="3"/>
  <c r="K32" i="3"/>
  <c r="L111" i="3"/>
  <c r="K111" i="3"/>
  <c r="I122" i="3"/>
  <c r="J111" i="3"/>
  <c r="L50" i="12"/>
  <c r="K50" i="12"/>
  <c r="J50" i="12"/>
  <c r="I50" i="12"/>
  <c r="Q29" i="6"/>
  <c r="S29" i="6"/>
  <c r="R29" i="6"/>
  <c r="U37" i="5"/>
  <c r="S37" i="5"/>
  <c r="T37" i="5"/>
  <c r="W37" i="5"/>
  <c r="V37" i="5"/>
  <c r="K47" i="5"/>
  <c r="I47" i="5"/>
  <c r="J47" i="5"/>
  <c r="M47" i="5"/>
  <c r="L47" i="5"/>
  <c r="I117" i="3"/>
  <c r="L106" i="3"/>
  <c r="K106" i="3"/>
  <c r="J106" i="3"/>
  <c r="K27" i="3"/>
  <c r="J27" i="3"/>
  <c r="L27" i="3"/>
  <c r="L81" i="3"/>
  <c r="K81" i="3"/>
  <c r="J81" i="3"/>
  <c r="E115" i="3"/>
  <c r="W18" i="5"/>
  <c r="T18" i="5"/>
  <c r="S18" i="5"/>
  <c r="V18" i="5"/>
  <c r="U18" i="5"/>
  <c r="W40" i="5"/>
  <c r="V40" i="5"/>
  <c r="U40" i="5"/>
  <c r="T40" i="5"/>
  <c r="S40" i="5"/>
  <c r="M50" i="5"/>
  <c r="L50" i="5"/>
  <c r="K50" i="5"/>
  <c r="J50" i="5"/>
  <c r="I50" i="5"/>
  <c r="K63" i="3"/>
  <c r="J63" i="3"/>
  <c r="L63" i="3"/>
  <c r="M12" i="5"/>
  <c r="L12" i="5"/>
  <c r="K12" i="5"/>
  <c r="J12" i="5"/>
  <c r="I12" i="5"/>
  <c r="M31" i="5"/>
  <c r="L31" i="5"/>
  <c r="K31" i="5"/>
  <c r="J31" i="5"/>
  <c r="I31" i="5"/>
  <c r="L11" i="2"/>
  <c r="L64" i="2"/>
  <c r="M9" i="5"/>
  <c r="J9" i="5"/>
  <c r="I9" i="5"/>
  <c r="L9" i="5"/>
  <c r="K9" i="5"/>
  <c r="M28" i="5"/>
  <c r="J28" i="5"/>
  <c r="I28" i="5"/>
  <c r="L28" i="5"/>
  <c r="K28" i="5"/>
  <c r="L22" i="3"/>
  <c r="K22" i="3"/>
  <c r="J22" i="3"/>
  <c r="K45" i="3"/>
  <c r="J45" i="3"/>
  <c r="K51" i="3"/>
  <c r="J51" i="3"/>
  <c r="K57" i="3"/>
  <c r="J57" i="3"/>
  <c r="L96" i="3"/>
  <c r="K96" i="3"/>
  <c r="J96" i="3"/>
  <c r="L141" i="3"/>
  <c r="K141" i="3"/>
  <c r="J141" i="3"/>
  <c r="E191" i="3"/>
  <c r="E68" i="2"/>
  <c r="L75" i="2"/>
  <c r="L10" i="3"/>
  <c r="J10" i="3"/>
  <c r="K10" i="3"/>
  <c r="L15" i="3"/>
  <c r="J15" i="3"/>
  <c r="K15" i="3"/>
  <c r="E189" i="3"/>
  <c r="S37" i="6"/>
  <c r="R37" i="6"/>
  <c r="Q37" i="6"/>
  <c r="S42" i="6"/>
  <c r="R42" i="6"/>
  <c r="Q42" i="6"/>
  <c r="S12" i="6"/>
  <c r="R12" i="6"/>
  <c r="Q12" i="6"/>
  <c r="S15" i="6"/>
  <c r="R15" i="6"/>
  <c r="Q15" i="6"/>
  <c r="K68" i="3"/>
  <c r="J68" i="3"/>
  <c r="L68" i="3"/>
  <c r="W52" i="5"/>
  <c r="V52" i="5"/>
  <c r="U52" i="5"/>
  <c r="T52" i="5"/>
  <c r="S52" i="5"/>
  <c r="M16" i="5"/>
  <c r="L16" i="5"/>
  <c r="K16" i="5"/>
  <c r="J16" i="5"/>
  <c r="I16" i="5"/>
  <c r="M35" i="5"/>
  <c r="L35" i="5"/>
  <c r="K35" i="5"/>
  <c r="J35" i="5"/>
  <c r="I35" i="5"/>
  <c r="S30" i="6"/>
  <c r="R30" i="6"/>
  <c r="Q30" i="6"/>
  <c r="S23" i="6"/>
  <c r="R23" i="6"/>
  <c r="Q23" i="6"/>
  <c r="S38" i="6"/>
  <c r="R38" i="6"/>
  <c r="Q38" i="6"/>
  <c r="S9" i="6"/>
  <c r="R9" i="6"/>
  <c r="Q9" i="6"/>
  <c r="H113" i="3"/>
  <c r="H118" i="3"/>
  <c r="H123" i="3"/>
  <c r="F187" i="3"/>
  <c r="F192" i="3"/>
  <c r="W9" i="5"/>
  <c r="V9" i="5"/>
  <c r="U9" i="5"/>
  <c r="T9" i="5"/>
  <c r="S9" i="5"/>
  <c r="M38" i="5"/>
  <c r="L38" i="5"/>
  <c r="K38" i="5"/>
  <c r="J38" i="5"/>
  <c r="I38" i="5"/>
  <c r="Y16" i="15"/>
  <c r="X16" i="15"/>
  <c r="W16" i="15"/>
  <c r="L66" i="3"/>
  <c r="K66" i="3"/>
  <c r="J66" i="3"/>
  <c r="L71" i="3"/>
  <c r="K71" i="3"/>
  <c r="J71" i="3"/>
  <c r="S35" i="6"/>
  <c r="R35" i="6"/>
  <c r="Q35" i="6"/>
  <c r="Q43" i="6"/>
  <c r="S43" i="6"/>
  <c r="R43" i="6"/>
  <c r="S28" i="6"/>
  <c r="R28" i="6"/>
  <c r="Q28" i="6"/>
  <c r="S49" i="6"/>
  <c r="R49" i="6"/>
  <c r="Q49" i="6"/>
  <c r="S14" i="6"/>
  <c r="R14" i="6"/>
  <c r="Q14" i="6"/>
  <c r="S31" i="6"/>
  <c r="R31" i="6"/>
  <c r="Q31" i="6"/>
  <c r="S24" i="6"/>
  <c r="R24" i="6"/>
  <c r="Q24" i="6"/>
  <c r="S8" i="6"/>
  <c r="Q8" i="6"/>
  <c r="R8" i="6"/>
  <c r="S16" i="6"/>
  <c r="R16" i="6"/>
  <c r="Q16" i="6"/>
  <c r="R44" i="6"/>
  <c r="Q44" i="6"/>
  <c r="S44" i="6"/>
  <c r="R50" i="6"/>
  <c r="S50" i="6"/>
  <c r="Q50" i="6"/>
  <c r="S36" i="6"/>
  <c r="R36" i="6"/>
  <c r="Q36" i="6"/>
  <c r="K123" i="13"/>
  <c r="J123" i="13"/>
  <c r="I123" i="13"/>
  <c r="K156" i="13"/>
  <c r="J156" i="13"/>
  <c r="I156" i="13"/>
  <c r="J55" i="14"/>
  <c r="I55" i="14"/>
  <c r="K23" i="13"/>
  <c r="J23" i="13"/>
  <c r="I23" i="13"/>
  <c r="S48" i="6"/>
  <c r="R48" i="6"/>
  <c r="Q48" i="6"/>
  <c r="V52" i="12"/>
  <c r="T52" i="12"/>
  <c r="S52" i="12"/>
  <c r="V55" i="12"/>
  <c r="T55" i="12"/>
  <c r="S55" i="12"/>
  <c r="L11" i="12"/>
  <c r="K11" i="12"/>
  <c r="J11" i="12"/>
  <c r="I11" i="12"/>
  <c r="K37" i="13"/>
  <c r="J37" i="13"/>
  <c r="I37" i="13"/>
  <c r="W13" i="13"/>
  <c r="V13" i="13"/>
  <c r="U13" i="13"/>
  <c r="K52" i="13"/>
  <c r="J52" i="13"/>
  <c r="I52" i="13"/>
  <c r="U14" i="13"/>
  <c r="W14" i="13"/>
  <c r="V14" i="13"/>
  <c r="W11" i="13"/>
  <c r="V11" i="13"/>
  <c r="U11" i="13"/>
  <c r="K58" i="13"/>
  <c r="J58" i="13"/>
  <c r="I58" i="13"/>
  <c r="J28" i="14"/>
  <c r="I28" i="14"/>
  <c r="Y18" i="15"/>
  <c r="X18" i="15"/>
  <c r="W18" i="15"/>
  <c r="Q80" i="18"/>
  <c r="K65" i="13"/>
  <c r="J65" i="13"/>
  <c r="I65" i="13"/>
  <c r="K101" i="13"/>
  <c r="J101" i="13"/>
  <c r="I101" i="13"/>
  <c r="T17" i="14"/>
  <c r="S17" i="14"/>
  <c r="H107" i="14"/>
  <c r="J99" i="14"/>
  <c r="I99" i="14"/>
  <c r="M79" i="15"/>
  <c r="K79" i="15"/>
  <c r="I79" i="15"/>
  <c r="L79" i="15"/>
  <c r="J79" i="15"/>
  <c r="W9" i="13"/>
  <c r="V9" i="13"/>
  <c r="U9" i="13"/>
  <c r="K42" i="13"/>
  <c r="J42" i="13"/>
  <c r="I42" i="13"/>
  <c r="H146" i="13"/>
  <c r="K138" i="13"/>
  <c r="J138" i="13"/>
  <c r="I138" i="13"/>
  <c r="Y20" i="15"/>
  <c r="X20" i="15"/>
  <c r="W20" i="15"/>
  <c r="V57" i="12"/>
  <c r="T57" i="12"/>
  <c r="S57" i="12"/>
  <c r="K18" i="13"/>
  <c r="J18" i="13"/>
  <c r="I18" i="13"/>
  <c r="K86" i="13"/>
  <c r="J86" i="13"/>
  <c r="I86" i="13"/>
  <c r="K129" i="13"/>
  <c r="J129" i="13"/>
  <c r="I129" i="13"/>
  <c r="T51" i="12"/>
  <c r="S51" i="12"/>
  <c r="V51" i="12"/>
  <c r="V54" i="12"/>
  <c r="T54" i="12"/>
  <c r="S54" i="12"/>
  <c r="K8" i="13"/>
  <c r="J8" i="13"/>
  <c r="I8" i="13"/>
  <c r="K32" i="13"/>
  <c r="J32" i="13"/>
  <c r="I32" i="13"/>
  <c r="K43" i="13"/>
  <c r="J43" i="13"/>
  <c r="I43" i="13"/>
  <c r="J33" i="14"/>
  <c r="I33" i="14"/>
  <c r="K16" i="13"/>
  <c r="J16" i="13"/>
  <c r="I16" i="13"/>
  <c r="K28" i="13"/>
  <c r="J28" i="13"/>
  <c r="I28" i="13"/>
  <c r="J66" i="13"/>
  <c r="K66" i="13"/>
  <c r="I66" i="13"/>
  <c r="J80" i="13"/>
  <c r="K80" i="13"/>
  <c r="I80" i="13"/>
  <c r="K14" i="13"/>
  <c r="J14" i="13"/>
  <c r="I14" i="13"/>
  <c r="H62" i="13"/>
  <c r="K54" i="13"/>
  <c r="J54" i="13"/>
  <c r="I54" i="13"/>
  <c r="K95" i="13"/>
  <c r="J95" i="13"/>
  <c r="I95" i="13"/>
  <c r="K111" i="13"/>
  <c r="J111" i="13"/>
  <c r="I111" i="13"/>
  <c r="J145" i="14"/>
  <c r="I145" i="14"/>
  <c r="T50" i="12"/>
  <c r="S50" i="12"/>
  <c r="V50" i="12"/>
  <c r="Y10" i="15"/>
  <c r="W10" i="15"/>
  <c r="X10" i="15"/>
  <c r="K118" i="15"/>
  <c r="I118" i="15"/>
  <c r="M118" i="15"/>
  <c r="L118" i="15"/>
  <c r="J118" i="15"/>
  <c r="K25" i="13"/>
  <c r="J25" i="13"/>
  <c r="I25" i="13"/>
  <c r="K73" i="13"/>
  <c r="J73" i="13"/>
  <c r="I73" i="13"/>
  <c r="K151" i="13"/>
  <c r="J151" i="13"/>
  <c r="I151" i="13"/>
  <c r="J39" i="14"/>
  <c r="I39" i="14"/>
  <c r="K44" i="13"/>
  <c r="J44" i="13"/>
  <c r="I44" i="13"/>
  <c r="L131" i="15"/>
  <c r="M131" i="15"/>
  <c r="K131" i="15"/>
  <c r="J131" i="15"/>
  <c r="I131" i="15"/>
  <c r="T21" i="14"/>
  <c r="S21" i="14"/>
  <c r="H163" i="14"/>
  <c r="J155" i="14"/>
  <c r="I155" i="14"/>
  <c r="T13" i="14"/>
  <c r="S13" i="14"/>
  <c r="Y12" i="15"/>
  <c r="X12" i="15"/>
  <c r="W12" i="15"/>
  <c r="T11" i="12"/>
  <c r="S11" i="12"/>
  <c r="V11" i="12"/>
  <c r="T14" i="14"/>
  <c r="S14" i="14"/>
  <c r="J25" i="16"/>
  <c r="I25" i="16"/>
  <c r="T12" i="12"/>
  <c r="S12" i="12"/>
  <c r="V12" i="12"/>
  <c r="T13" i="12"/>
  <c r="S13" i="12"/>
  <c r="V13" i="12"/>
  <c r="T14" i="12"/>
  <c r="S14" i="12"/>
  <c r="V14" i="12"/>
  <c r="K11" i="13"/>
  <c r="J11" i="13"/>
  <c r="I11" i="13"/>
  <c r="I30" i="13"/>
  <c r="K30" i="13"/>
  <c r="J30" i="13"/>
  <c r="J126" i="14"/>
  <c r="I126" i="14"/>
  <c r="S15" i="12"/>
  <c r="V15" i="12"/>
  <c r="T15" i="12"/>
  <c r="S16" i="12"/>
  <c r="V16" i="12"/>
  <c r="T16" i="12"/>
  <c r="S17" i="12"/>
  <c r="V17" i="12"/>
  <c r="T17" i="12"/>
  <c r="S18" i="12"/>
  <c r="V18" i="12"/>
  <c r="T18" i="12"/>
  <c r="S19" i="12"/>
  <c r="V19" i="12"/>
  <c r="T19" i="12"/>
  <c r="S20" i="12"/>
  <c r="V20" i="12"/>
  <c r="T20" i="12"/>
  <c r="S21" i="12"/>
  <c r="V21" i="12"/>
  <c r="T21" i="12"/>
  <c r="S22" i="12"/>
  <c r="V22" i="12"/>
  <c r="T22" i="12"/>
  <c r="S23" i="12"/>
  <c r="V23" i="12"/>
  <c r="T23" i="12"/>
  <c r="S24" i="12"/>
  <c r="V24" i="12"/>
  <c r="T24" i="12"/>
  <c r="S25" i="12"/>
  <c r="V25" i="12"/>
  <c r="T25" i="12"/>
  <c r="S26" i="12"/>
  <c r="V26" i="12"/>
  <c r="T26" i="12"/>
  <c r="S27" i="12"/>
  <c r="V27" i="12"/>
  <c r="T27" i="12"/>
  <c r="S28" i="12"/>
  <c r="V28" i="12"/>
  <c r="T28" i="12"/>
  <c r="S29" i="12"/>
  <c r="V29" i="12"/>
  <c r="T29" i="12"/>
  <c r="S30" i="12"/>
  <c r="V30" i="12"/>
  <c r="T30" i="12"/>
  <c r="S31" i="12"/>
  <c r="V31" i="12"/>
  <c r="T31" i="12"/>
  <c r="S32" i="12"/>
  <c r="V32" i="12"/>
  <c r="T32" i="12"/>
  <c r="S33" i="12"/>
  <c r="V33" i="12"/>
  <c r="T33" i="12"/>
  <c r="S34" i="12"/>
  <c r="V34" i="12"/>
  <c r="T34" i="12"/>
  <c r="S35" i="12"/>
  <c r="V35" i="12"/>
  <c r="T35" i="12"/>
  <c r="S36" i="12"/>
  <c r="V36" i="12"/>
  <c r="T36" i="12"/>
  <c r="S37" i="12"/>
  <c r="V37" i="12"/>
  <c r="T37" i="12"/>
  <c r="S38" i="12"/>
  <c r="V38" i="12"/>
  <c r="T38" i="12"/>
  <c r="S39" i="12"/>
  <c r="V39" i="12"/>
  <c r="T39" i="12"/>
  <c r="S40" i="12"/>
  <c r="V40" i="12"/>
  <c r="T40" i="12"/>
  <c r="I15" i="13"/>
  <c r="J15" i="13"/>
  <c r="K15" i="13"/>
  <c r="Y14" i="15"/>
  <c r="X14" i="15"/>
  <c r="W14" i="15"/>
  <c r="J61" i="16"/>
  <c r="I61" i="16"/>
  <c r="J11" i="14"/>
  <c r="I11" i="14"/>
  <c r="J15" i="14"/>
  <c r="I15" i="14"/>
  <c r="H23" i="14"/>
  <c r="J19" i="14"/>
  <c r="I19" i="14"/>
  <c r="J91" i="14"/>
  <c r="I91" i="14"/>
  <c r="J96" i="14"/>
  <c r="I96" i="14"/>
  <c r="J118" i="14"/>
  <c r="I118" i="14"/>
  <c r="J123" i="14"/>
  <c r="I123" i="14"/>
  <c r="H65" i="16"/>
  <c r="J66" i="16"/>
  <c r="I66" i="16"/>
  <c r="J42" i="14"/>
  <c r="I42" i="14"/>
  <c r="J45" i="14"/>
  <c r="I45" i="14"/>
  <c r="J48" i="14"/>
  <c r="I48" i="14"/>
  <c r="J160" i="14"/>
  <c r="I160" i="14"/>
  <c r="J44" i="16"/>
  <c r="I44" i="16"/>
  <c r="T12" i="14"/>
  <c r="S12" i="14"/>
  <c r="T16" i="14"/>
  <c r="S16" i="14"/>
  <c r="T20" i="14"/>
  <c r="S20" i="14"/>
  <c r="J88" i="14"/>
  <c r="I88" i="14"/>
  <c r="J115" i="14"/>
  <c r="I115" i="14"/>
  <c r="J142" i="14"/>
  <c r="I142" i="14"/>
  <c r="J26" i="14"/>
  <c r="I26" i="14"/>
  <c r="J31" i="14"/>
  <c r="I31" i="14"/>
  <c r="J36" i="14"/>
  <c r="I36" i="14"/>
  <c r="I62" i="14"/>
  <c r="J62" i="14"/>
  <c r="I73" i="14"/>
  <c r="J73" i="14"/>
  <c r="J68" i="16"/>
  <c r="I68" i="16"/>
  <c r="J99" i="16"/>
  <c r="I99" i="16"/>
  <c r="K113" i="17"/>
  <c r="J113" i="17"/>
  <c r="I113" i="17"/>
  <c r="J59" i="14"/>
  <c r="I59" i="14"/>
  <c r="J70" i="14"/>
  <c r="I70" i="14"/>
  <c r="J81" i="14"/>
  <c r="I81" i="14"/>
  <c r="H93" i="14"/>
  <c r="J85" i="14"/>
  <c r="I85" i="14"/>
  <c r="J112" i="14"/>
  <c r="I112" i="14"/>
  <c r="J134" i="14"/>
  <c r="I134" i="14"/>
  <c r="J139" i="14"/>
  <c r="I139" i="14"/>
  <c r="I151" i="14"/>
  <c r="J151" i="14"/>
  <c r="J30" i="16"/>
  <c r="I30" i="16"/>
  <c r="J14" i="14"/>
  <c r="I14" i="14"/>
  <c r="J18" i="14"/>
  <c r="I18" i="14"/>
  <c r="J22" i="14"/>
  <c r="I22" i="14"/>
  <c r="J53" i="14"/>
  <c r="I53" i="14"/>
  <c r="J56" i="14"/>
  <c r="I56" i="14"/>
  <c r="J67" i="14"/>
  <c r="I67" i="14"/>
  <c r="J77" i="14"/>
  <c r="I77" i="14"/>
  <c r="Q117" i="19"/>
  <c r="P117" i="19"/>
  <c r="J63" i="14"/>
  <c r="I63" i="14"/>
  <c r="J74" i="14"/>
  <c r="I74" i="14"/>
  <c r="J104" i="14"/>
  <c r="I104" i="14"/>
  <c r="J131" i="14"/>
  <c r="I131" i="14"/>
  <c r="J136" i="17"/>
  <c r="I136" i="17"/>
  <c r="H135" i="17"/>
  <c r="T11" i="14"/>
  <c r="S11" i="14"/>
  <c r="T15" i="14"/>
  <c r="S15" i="14"/>
  <c r="R23" i="14"/>
  <c r="T19" i="14"/>
  <c r="S19" i="14"/>
  <c r="H37" i="14"/>
  <c r="J29" i="14"/>
  <c r="I29" i="14"/>
  <c r="J34" i="14"/>
  <c r="I34" i="14"/>
  <c r="J40" i="14"/>
  <c r="I40" i="14"/>
  <c r="J49" i="14"/>
  <c r="I49" i="14"/>
  <c r="I156" i="14"/>
  <c r="J156" i="14"/>
  <c r="J18" i="16"/>
  <c r="I18" i="16"/>
  <c r="J97" i="14"/>
  <c r="I97" i="14"/>
  <c r="J101" i="14"/>
  <c r="I101" i="14"/>
  <c r="J124" i="14"/>
  <c r="I124" i="14"/>
  <c r="J128" i="14"/>
  <c r="I128" i="14"/>
  <c r="J147" i="14"/>
  <c r="I147" i="14"/>
  <c r="J112" i="16"/>
  <c r="I112" i="16"/>
  <c r="J43" i="14"/>
  <c r="I43" i="14"/>
  <c r="H51" i="14"/>
  <c r="I46" i="14"/>
  <c r="J46" i="14"/>
  <c r="I161" i="14"/>
  <c r="J161" i="14"/>
  <c r="I13" i="14"/>
  <c r="J13" i="14"/>
  <c r="J17" i="14"/>
  <c r="I17" i="14"/>
  <c r="J21" i="14"/>
  <c r="I21" i="14"/>
  <c r="J120" i="14"/>
  <c r="I120" i="14"/>
  <c r="K48" i="17"/>
  <c r="J48" i="17"/>
  <c r="I48" i="17"/>
  <c r="J27" i="14"/>
  <c r="I27" i="14"/>
  <c r="J32" i="14"/>
  <c r="I32" i="14"/>
  <c r="J144" i="14"/>
  <c r="I144" i="14"/>
  <c r="H91" i="16"/>
  <c r="J83" i="16"/>
  <c r="I83" i="16"/>
  <c r="T18" i="14"/>
  <c r="S18" i="14"/>
  <c r="T22" i="14"/>
  <c r="S22" i="14"/>
  <c r="J86" i="14"/>
  <c r="I86" i="14"/>
  <c r="J90" i="14"/>
  <c r="I90" i="14"/>
  <c r="H121" i="14"/>
  <c r="J113" i="14"/>
  <c r="I113" i="14"/>
  <c r="J117" i="14"/>
  <c r="I117" i="14"/>
  <c r="J140" i="14"/>
  <c r="I140" i="14"/>
  <c r="J153" i="14"/>
  <c r="I153" i="14"/>
  <c r="J56" i="16"/>
  <c r="I56" i="16"/>
  <c r="J123" i="16"/>
  <c r="I123" i="16"/>
  <c r="J47" i="14"/>
  <c r="I47" i="14"/>
  <c r="J50" i="14"/>
  <c r="I50" i="14"/>
  <c r="J54" i="14"/>
  <c r="I54" i="14"/>
  <c r="H65" i="14"/>
  <c r="I57" i="14"/>
  <c r="J57" i="14"/>
  <c r="I68" i="14"/>
  <c r="J68" i="14"/>
  <c r="I78" i="14"/>
  <c r="J78" i="14"/>
  <c r="J64" i="14"/>
  <c r="I64" i="14"/>
  <c r="J75" i="14"/>
  <c r="I75" i="14"/>
  <c r="J83" i="14"/>
  <c r="I83" i="14"/>
  <c r="J110" i="14"/>
  <c r="I110" i="14"/>
  <c r="J137" i="14"/>
  <c r="I137" i="14"/>
  <c r="J158" i="14"/>
  <c r="I158" i="14"/>
  <c r="T21" i="16"/>
  <c r="V13" i="16"/>
  <c r="U13" i="16"/>
  <c r="I12" i="14"/>
  <c r="J12" i="14"/>
  <c r="I16" i="14"/>
  <c r="J16" i="14"/>
  <c r="I20" i="14"/>
  <c r="J20" i="14"/>
  <c r="I25" i="14"/>
  <c r="J25" i="14"/>
  <c r="J30" i="14"/>
  <c r="I30" i="14"/>
  <c r="J35" i="14"/>
  <c r="I35" i="14"/>
  <c r="J41" i="14"/>
  <c r="I41" i="14"/>
  <c r="J44" i="14"/>
  <c r="I44" i="14"/>
  <c r="J61" i="14"/>
  <c r="I61" i="14"/>
  <c r="J72" i="14"/>
  <c r="I72" i="14"/>
  <c r="I58" i="14"/>
  <c r="J58" i="14"/>
  <c r="I69" i="14"/>
  <c r="J69" i="14"/>
  <c r="I102" i="14"/>
  <c r="J102" i="14"/>
  <c r="I106" i="14"/>
  <c r="J106" i="14"/>
  <c r="I129" i="14"/>
  <c r="J129" i="14"/>
  <c r="I133" i="14"/>
  <c r="J133" i="14"/>
  <c r="H76" i="18"/>
  <c r="I68" i="18"/>
  <c r="U12" i="16"/>
  <c r="V12" i="16"/>
  <c r="K44" i="17"/>
  <c r="J44" i="17"/>
  <c r="I44" i="17"/>
  <c r="I12" i="16"/>
  <c r="J12" i="16"/>
  <c r="I24" i="16"/>
  <c r="H23" i="16"/>
  <c r="J24" i="16"/>
  <c r="H65" i="17"/>
  <c r="K66" i="17"/>
  <c r="J66" i="17"/>
  <c r="I66" i="17"/>
  <c r="I15" i="16"/>
  <c r="J15" i="16"/>
  <c r="V16" i="16"/>
  <c r="U16" i="16"/>
  <c r="H37" i="16"/>
  <c r="J38" i="16"/>
  <c r="I38" i="16"/>
  <c r="J28" i="17"/>
  <c r="I28" i="17"/>
  <c r="J117" i="17"/>
  <c r="I117" i="17"/>
  <c r="K53" i="17"/>
  <c r="J53" i="17"/>
  <c r="I53" i="17"/>
  <c r="K96" i="17"/>
  <c r="J96" i="17"/>
  <c r="I96" i="17"/>
  <c r="J32" i="17"/>
  <c r="I32" i="17"/>
  <c r="J74" i="17"/>
  <c r="I74" i="17"/>
  <c r="I84" i="14"/>
  <c r="J84" i="14"/>
  <c r="I89" i="14"/>
  <c r="J89" i="14"/>
  <c r="I95" i="14"/>
  <c r="J95" i="14"/>
  <c r="I100" i="14"/>
  <c r="J100" i="14"/>
  <c r="I105" i="14"/>
  <c r="J105" i="14"/>
  <c r="I111" i="14"/>
  <c r="J111" i="14"/>
  <c r="I116" i="14"/>
  <c r="J116" i="14"/>
  <c r="H135" i="14"/>
  <c r="I127" i="14"/>
  <c r="J127" i="14"/>
  <c r="I132" i="14"/>
  <c r="J132" i="14"/>
  <c r="I138" i="14"/>
  <c r="J138" i="14"/>
  <c r="I143" i="14"/>
  <c r="J143" i="14"/>
  <c r="I148" i="14"/>
  <c r="J148" i="14"/>
  <c r="I154" i="14"/>
  <c r="J154" i="14"/>
  <c r="I159" i="14"/>
  <c r="J159" i="14"/>
  <c r="V15" i="16"/>
  <c r="U15" i="16"/>
  <c r="K56" i="17"/>
  <c r="J56" i="17"/>
  <c r="I56" i="17"/>
  <c r="X110" i="18"/>
  <c r="W118" i="18"/>
  <c r="K10" i="17"/>
  <c r="H9" i="17"/>
  <c r="K32" i="17" s="1"/>
  <c r="J10" i="17"/>
  <c r="I10" i="17"/>
  <c r="J60" i="14"/>
  <c r="I60" i="14"/>
  <c r="J71" i="14"/>
  <c r="H79" i="14"/>
  <c r="I71" i="14"/>
  <c r="J76" i="14"/>
  <c r="I76" i="14"/>
  <c r="J82" i="14"/>
  <c r="I82" i="14"/>
  <c r="J87" i="14"/>
  <c r="I87" i="14"/>
  <c r="J92" i="14"/>
  <c r="I92" i="14"/>
  <c r="J98" i="14"/>
  <c r="I98" i="14"/>
  <c r="J103" i="14"/>
  <c r="I103" i="14"/>
  <c r="J109" i="14"/>
  <c r="I109" i="14"/>
  <c r="J114" i="14"/>
  <c r="I114" i="14"/>
  <c r="J119" i="14"/>
  <c r="I119" i="14"/>
  <c r="J125" i="14"/>
  <c r="I125" i="14"/>
  <c r="J130" i="14"/>
  <c r="I130" i="14"/>
  <c r="J141" i="14"/>
  <c r="I141" i="14"/>
  <c r="H149" i="14"/>
  <c r="J146" i="14"/>
  <c r="I146" i="14"/>
  <c r="J152" i="14"/>
  <c r="I152" i="14"/>
  <c r="J157" i="14"/>
  <c r="I157" i="14"/>
  <c r="J162" i="14"/>
  <c r="I162" i="14"/>
  <c r="J126" i="17"/>
  <c r="I126" i="17"/>
  <c r="H49" i="17"/>
  <c r="J41" i="17"/>
  <c r="I41" i="17"/>
  <c r="J25" i="17"/>
  <c r="I25" i="17"/>
  <c r="K25" i="17"/>
  <c r="J29" i="17"/>
  <c r="I29" i="17"/>
  <c r="K29" i="17"/>
  <c r="K104" i="17"/>
  <c r="J104" i="17"/>
  <c r="I104" i="17"/>
  <c r="J127" i="17"/>
  <c r="I127" i="17"/>
  <c r="K127" i="17"/>
  <c r="X16" i="18"/>
  <c r="K70" i="17"/>
  <c r="I70" i="17"/>
  <c r="J70" i="17"/>
  <c r="J83" i="17"/>
  <c r="I83" i="17"/>
  <c r="H91" i="17"/>
  <c r="K109" i="17"/>
  <c r="J109" i="17"/>
  <c r="I109" i="17"/>
  <c r="K137" i="17"/>
  <c r="I137" i="17"/>
  <c r="J137" i="17"/>
  <c r="J70" i="18"/>
  <c r="I70" i="18"/>
  <c r="P8" i="18"/>
  <c r="R80" i="18" s="1"/>
  <c r="Q9" i="18"/>
  <c r="R9" i="18"/>
  <c r="Q13" i="18"/>
  <c r="R13" i="18"/>
  <c r="X45" i="18"/>
  <c r="I97" i="18"/>
  <c r="I113" i="18"/>
  <c r="K12" i="17"/>
  <c r="J12" i="17"/>
  <c r="I12" i="17"/>
  <c r="K14" i="17"/>
  <c r="J14" i="17"/>
  <c r="I14" i="17"/>
  <c r="K16" i="17"/>
  <c r="J16" i="17"/>
  <c r="I16" i="17"/>
  <c r="J61" i="17"/>
  <c r="I61" i="17"/>
  <c r="K87" i="17"/>
  <c r="J87" i="17"/>
  <c r="I87" i="17"/>
  <c r="H149" i="17"/>
  <c r="J150" i="17"/>
  <c r="I150" i="17"/>
  <c r="K84" i="17"/>
  <c r="J84" i="17"/>
  <c r="I84" i="17"/>
  <c r="K123" i="17"/>
  <c r="J123" i="17"/>
  <c r="I123" i="17"/>
  <c r="Q40" i="18"/>
  <c r="P48" i="18"/>
  <c r="R40" i="18"/>
  <c r="I47" i="18"/>
  <c r="J62" i="17"/>
  <c r="I62" i="17"/>
  <c r="K101" i="17"/>
  <c r="J101" i="17"/>
  <c r="I101" i="17"/>
  <c r="J114" i="17"/>
  <c r="I114" i="17"/>
  <c r="K132" i="17"/>
  <c r="J132" i="17"/>
  <c r="I132" i="17"/>
  <c r="X13" i="18"/>
  <c r="X17" i="18"/>
  <c r="H79" i="17"/>
  <c r="K80" i="17"/>
  <c r="J80" i="17"/>
  <c r="I80" i="17"/>
  <c r="J158" i="17"/>
  <c r="I158" i="17"/>
  <c r="R10" i="18"/>
  <c r="Q10" i="18"/>
  <c r="R29" i="18"/>
  <c r="Q29" i="18"/>
  <c r="J54" i="17"/>
  <c r="I54" i="17"/>
  <c r="K54" i="17"/>
  <c r="K58" i="17"/>
  <c r="J58" i="17"/>
  <c r="I58" i="17"/>
  <c r="K71" i="17"/>
  <c r="J71" i="17"/>
  <c r="I71" i="17"/>
  <c r="X41" i="18"/>
  <c r="K20" i="17"/>
  <c r="J20" i="17"/>
  <c r="I20" i="17"/>
  <c r="K46" i="17"/>
  <c r="J46" i="17"/>
  <c r="I46" i="17"/>
  <c r="K115" i="17"/>
  <c r="J115" i="17"/>
  <c r="I115" i="17"/>
  <c r="J34" i="17"/>
  <c r="I34" i="17"/>
  <c r="K39" i="17"/>
  <c r="J39" i="17"/>
  <c r="I39" i="17"/>
  <c r="K94" i="17"/>
  <c r="J94" i="17"/>
  <c r="I94" i="17"/>
  <c r="H93" i="17"/>
  <c r="H147" i="17"/>
  <c r="K139" i="17"/>
  <c r="J139" i="17"/>
  <c r="I139" i="17"/>
  <c r="X18" i="18"/>
  <c r="X86" i="18"/>
  <c r="H35" i="17"/>
  <c r="J27" i="17"/>
  <c r="I27" i="17"/>
  <c r="K31" i="17"/>
  <c r="J31" i="17"/>
  <c r="I31" i="17"/>
  <c r="K72" i="17"/>
  <c r="J72" i="17"/>
  <c r="I72" i="17"/>
  <c r="H119" i="17"/>
  <c r="K111" i="17"/>
  <c r="J111" i="17"/>
  <c r="I111" i="17"/>
  <c r="X14" i="18"/>
  <c r="J25" i="18"/>
  <c r="I25" i="18"/>
  <c r="K89" i="17"/>
  <c r="J89" i="17"/>
  <c r="I89" i="17"/>
  <c r="K144" i="17"/>
  <c r="J144" i="17"/>
  <c r="I144" i="17"/>
  <c r="X19" i="18"/>
  <c r="J66" i="18"/>
  <c r="I66" i="18"/>
  <c r="I75" i="18"/>
  <c r="K124" i="17"/>
  <c r="J124" i="17"/>
  <c r="I124" i="17"/>
  <c r="H21" i="17"/>
  <c r="K13" i="17"/>
  <c r="J13" i="17"/>
  <c r="I13" i="17"/>
  <c r="K15" i="17"/>
  <c r="J15" i="17"/>
  <c r="I15" i="17"/>
  <c r="K68" i="17"/>
  <c r="J68" i="17"/>
  <c r="I68" i="17"/>
  <c r="H133" i="17"/>
  <c r="K125" i="17"/>
  <c r="J125" i="17"/>
  <c r="I125" i="17"/>
  <c r="H161" i="17"/>
  <c r="K153" i="17"/>
  <c r="J153" i="17"/>
  <c r="I153" i="17"/>
  <c r="X60" i="18"/>
  <c r="J43" i="18"/>
  <c r="I43" i="18"/>
  <c r="J103" i="17"/>
  <c r="I103" i="17"/>
  <c r="K103" i="17"/>
  <c r="P12" i="19"/>
  <c r="Q12" i="19"/>
  <c r="I82" i="17"/>
  <c r="K82" i="17"/>
  <c r="J82" i="17"/>
  <c r="X15" i="18"/>
  <c r="K40" i="17"/>
  <c r="J40" i="17"/>
  <c r="I40" i="17"/>
  <c r="K60" i="17"/>
  <c r="J60" i="17"/>
  <c r="I60" i="17"/>
  <c r="K99" i="17"/>
  <c r="J99" i="17"/>
  <c r="I99" i="17"/>
  <c r="P20" i="18"/>
  <c r="R12" i="18"/>
  <c r="Q12" i="18"/>
  <c r="X67" i="18"/>
  <c r="H26" i="19"/>
  <c r="I26" i="19"/>
  <c r="I24" i="18"/>
  <c r="J56" i="18"/>
  <c r="I56" i="18"/>
  <c r="J87" i="18"/>
  <c r="I87" i="18"/>
  <c r="J127" i="18"/>
  <c r="I127" i="18"/>
  <c r="J23" i="18"/>
  <c r="H22" i="18"/>
  <c r="I23" i="18"/>
  <c r="I111" i="18"/>
  <c r="P29" i="19"/>
  <c r="Q29" i="19"/>
  <c r="J142" i="17"/>
  <c r="K142" i="17"/>
  <c r="I142" i="17"/>
  <c r="I46" i="18"/>
  <c r="I83" i="18"/>
  <c r="K130" i="17"/>
  <c r="J130" i="17"/>
  <c r="I130" i="17"/>
  <c r="J55" i="18"/>
  <c r="I55" i="18"/>
  <c r="J75" i="17"/>
  <c r="I75" i="17"/>
  <c r="K75" i="17"/>
  <c r="J97" i="17"/>
  <c r="I97" i="17"/>
  <c r="K97" i="17"/>
  <c r="H105" i="17"/>
  <c r="J118" i="17"/>
  <c r="I118" i="17"/>
  <c r="K118" i="17"/>
  <c r="I33" i="18"/>
  <c r="I11" i="17"/>
  <c r="K11" i="17"/>
  <c r="J11" i="17"/>
  <c r="J18" i="18"/>
  <c r="I18" i="18"/>
  <c r="I19" i="18"/>
  <c r="J32" i="18"/>
  <c r="I32" i="18"/>
  <c r="I42" i="18"/>
  <c r="J42" i="18"/>
  <c r="X16" i="19"/>
  <c r="Y16" i="19"/>
  <c r="J54" i="18"/>
  <c r="I54" i="18"/>
  <c r="H62" i="18"/>
  <c r="I98" i="18"/>
  <c r="I11" i="18"/>
  <c r="I12" i="18"/>
  <c r="H20" i="18"/>
  <c r="J13" i="18"/>
  <c r="I13" i="18"/>
  <c r="I14" i="18"/>
  <c r="J15" i="18"/>
  <c r="I15" i="18"/>
  <c r="J41" i="18"/>
  <c r="I41" i="18"/>
  <c r="I72" i="18"/>
  <c r="K19" i="17"/>
  <c r="J19" i="17"/>
  <c r="I19" i="17"/>
  <c r="K38" i="17"/>
  <c r="J38" i="17"/>
  <c r="I38" i="17"/>
  <c r="H37" i="17"/>
  <c r="K18" i="17"/>
  <c r="J18" i="17"/>
  <c r="I18" i="17"/>
  <c r="I9" i="18"/>
  <c r="J9" i="18"/>
  <c r="H8" i="18"/>
  <c r="J47" i="18" s="1"/>
  <c r="H48" i="18"/>
  <c r="J40" i="18"/>
  <c r="I40" i="18"/>
  <c r="J40" i="19"/>
  <c r="I40" i="19"/>
  <c r="H40" i="19"/>
  <c r="I17" i="17"/>
  <c r="K17" i="17"/>
  <c r="J17" i="17"/>
  <c r="I33" i="17"/>
  <c r="J33" i="17"/>
  <c r="K33" i="17"/>
  <c r="I28" i="18"/>
  <c r="Y95" i="19"/>
  <c r="X95" i="19"/>
  <c r="K146" i="17"/>
  <c r="J146" i="17"/>
  <c r="I146" i="17"/>
  <c r="I155" i="17"/>
  <c r="K155" i="17"/>
  <c r="J155" i="17"/>
  <c r="H34" i="18"/>
  <c r="J26" i="18"/>
  <c r="I26" i="18"/>
  <c r="I44" i="18"/>
  <c r="X11" i="19"/>
  <c r="Y11" i="19"/>
  <c r="I39" i="19"/>
  <c r="H39" i="19"/>
  <c r="I114" i="19"/>
  <c r="H114" i="19"/>
  <c r="Q45" i="19"/>
  <c r="P45" i="19"/>
  <c r="I52" i="19"/>
  <c r="J52" i="19"/>
  <c r="H52" i="19"/>
  <c r="G51" i="19"/>
  <c r="J58" i="19"/>
  <c r="I58" i="19"/>
  <c r="H58" i="19"/>
  <c r="Q17" i="19"/>
  <c r="P17" i="19"/>
  <c r="P59" i="19"/>
  <c r="Q59" i="19"/>
  <c r="G9" i="19"/>
  <c r="J26" i="19" s="1"/>
  <c r="I10" i="19"/>
  <c r="H10" i="19"/>
  <c r="J20" i="19"/>
  <c r="H20" i="19"/>
  <c r="I20" i="19"/>
  <c r="W91" i="19"/>
  <c r="Y83" i="19"/>
  <c r="X83" i="19"/>
  <c r="R10" i="21"/>
  <c r="Q10" i="21"/>
  <c r="J15" i="19"/>
  <c r="I15" i="19"/>
  <c r="H15" i="19"/>
  <c r="Y20" i="19"/>
  <c r="X20" i="19"/>
  <c r="Y54" i="19"/>
  <c r="X54" i="19"/>
  <c r="W9" i="19"/>
  <c r="Y10" i="19"/>
  <c r="X10" i="19"/>
  <c r="G133" i="19"/>
  <c r="J125" i="19"/>
  <c r="I125" i="19"/>
  <c r="H125" i="19"/>
  <c r="P24" i="19"/>
  <c r="Q24" i="19"/>
  <c r="O23" i="19"/>
  <c r="W49" i="19"/>
  <c r="X41" i="19"/>
  <c r="Y41" i="19"/>
  <c r="X154" i="19"/>
  <c r="Y154" i="19"/>
  <c r="Y15" i="19"/>
  <c r="X15" i="19"/>
  <c r="J31" i="19"/>
  <c r="H31" i="19"/>
  <c r="I31" i="19"/>
  <c r="Y61" i="19"/>
  <c r="X61" i="19"/>
  <c r="J104" i="19"/>
  <c r="I104" i="19"/>
  <c r="H104" i="19"/>
  <c r="I39" i="21"/>
  <c r="H39" i="21"/>
  <c r="J25" i="19"/>
  <c r="I25" i="19"/>
  <c r="H25" i="19"/>
  <c r="W35" i="19"/>
  <c r="X27" i="19"/>
  <c r="Y27" i="19"/>
  <c r="Y72" i="19"/>
  <c r="X72" i="19"/>
  <c r="Y59" i="19"/>
  <c r="X59" i="19"/>
  <c r="L33" i="22"/>
  <c r="K33" i="22"/>
  <c r="J33" i="22"/>
  <c r="O21" i="19"/>
  <c r="Q13" i="19"/>
  <c r="P13" i="19"/>
  <c r="P18" i="19"/>
  <c r="Q18" i="19"/>
  <c r="Y42" i="19"/>
  <c r="X42" i="19"/>
  <c r="J74" i="19"/>
  <c r="I74" i="19"/>
  <c r="H74" i="19"/>
  <c r="Y131" i="19"/>
  <c r="X131" i="19"/>
  <c r="I19" i="19"/>
  <c r="H19" i="19"/>
  <c r="J19" i="19"/>
  <c r="Y56" i="19"/>
  <c r="X56" i="19"/>
  <c r="Y89" i="19"/>
  <c r="X89" i="19"/>
  <c r="X110" i="19"/>
  <c r="Y110" i="19"/>
  <c r="H14" i="19"/>
  <c r="J14" i="19"/>
  <c r="I14" i="19"/>
  <c r="X26" i="19"/>
  <c r="Y26" i="19"/>
  <c r="J30" i="19"/>
  <c r="H30" i="19"/>
  <c r="I30" i="19"/>
  <c r="I72" i="19"/>
  <c r="J72" i="19"/>
  <c r="H72" i="19"/>
  <c r="J85" i="19"/>
  <c r="I85" i="19"/>
  <c r="H85" i="19"/>
  <c r="I31" i="21"/>
  <c r="H31" i="21"/>
  <c r="L20" i="22"/>
  <c r="K20" i="22"/>
  <c r="J20" i="22"/>
  <c r="I38" i="19"/>
  <c r="G37" i="19"/>
  <c r="H38" i="19"/>
  <c r="J38" i="19"/>
  <c r="X40" i="19"/>
  <c r="Y40" i="19"/>
  <c r="I48" i="19"/>
  <c r="H48" i="19"/>
  <c r="J48" i="19"/>
  <c r="H76" i="21"/>
  <c r="I76" i="21"/>
  <c r="X32" i="19"/>
  <c r="Y32" i="19"/>
  <c r="J76" i="19"/>
  <c r="I76" i="19"/>
  <c r="H76" i="19"/>
  <c r="G91" i="19"/>
  <c r="I83" i="19"/>
  <c r="H83" i="19"/>
  <c r="J83" i="19"/>
  <c r="J110" i="19"/>
  <c r="I110" i="19"/>
  <c r="H110" i="19"/>
  <c r="J71" i="19"/>
  <c r="I71" i="19"/>
  <c r="H71" i="19"/>
  <c r="I13" i="21"/>
  <c r="H13" i="21"/>
  <c r="I32" i="19"/>
  <c r="J32" i="19"/>
  <c r="H32" i="19"/>
  <c r="J53" i="19"/>
  <c r="I53" i="19"/>
  <c r="H53" i="19"/>
  <c r="J11" i="19"/>
  <c r="I11" i="19"/>
  <c r="H11" i="19"/>
  <c r="J16" i="19"/>
  <c r="I16" i="19"/>
  <c r="H16" i="19"/>
  <c r="G35" i="19"/>
  <c r="J27" i="19"/>
  <c r="I27" i="19"/>
  <c r="H27" i="19"/>
  <c r="I113" i="21"/>
  <c r="H113" i="21"/>
  <c r="L57" i="22"/>
  <c r="K57" i="22"/>
  <c r="J57" i="22"/>
  <c r="I125" i="21"/>
  <c r="H125" i="21"/>
  <c r="J12" i="19"/>
  <c r="I12" i="19"/>
  <c r="H12" i="19"/>
  <c r="J17" i="19"/>
  <c r="I17" i="19"/>
  <c r="H17" i="19"/>
  <c r="J28" i="19"/>
  <c r="I28" i="19"/>
  <c r="H28" i="19"/>
  <c r="J34" i="19"/>
  <c r="I34" i="19"/>
  <c r="H34" i="19"/>
  <c r="I156" i="21"/>
  <c r="H156" i="21"/>
  <c r="I61" i="21"/>
  <c r="H61" i="21"/>
  <c r="X9" i="22"/>
  <c r="W9" i="22"/>
  <c r="V9" i="22"/>
  <c r="L86" i="22"/>
  <c r="K86" i="22"/>
  <c r="J86" i="22"/>
  <c r="I63" i="21"/>
  <c r="H63" i="21"/>
  <c r="U21" i="22"/>
  <c r="X13" i="22"/>
  <c r="W13" i="22"/>
  <c r="V13" i="22"/>
  <c r="G78" i="21"/>
  <c r="I70" i="21"/>
  <c r="H70" i="21"/>
  <c r="I153" i="21"/>
  <c r="H153" i="21"/>
  <c r="R20" i="21"/>
  <c r="Q20" i="21"/>
  <c r="H85" i="21"/>
  <c r="I85" i="21"/>
  <c r="I15" i="21"/>
  <c r="H15" i="21"/>
  <c r="I43" i="21"/>
  <c r="H43" i="21"/>
  <c r="I103" i="21"/>
  <c r="H103" i="21"/>
  <c r="L65" i="22"/>
  <c r="K65" i="22"/>
  <c r="J65" i="22"/>
  <c r="R21" i="21"/>
  <c r="Q21" i="21"/>
  <c r="I95" i="21"/>
  <c r="H95" i="21"/>
  <c r="L27" i="22"/>
  <c r="I35" i="22"/>
  <c r="K27" i="22"/>
  <c r="J27" i="22"/>
  <c r="K22" i="27"/>
  <c r="J22" i="27"/>
  <c r="I22" i="27"/>
  <c r="L59" i="22"/>
  <c r="K59" i="22"/>
  <c r="J59" i="22"/>
  <c r="X10" i="22"/>
  <c r="W10" i="22"/>
  <c r="V10" i="22"/>
  <c r="X14" i="22"/>
  <c r="W14" i="22"/>
  <c r="V14" i="22"/>
  <c r="L43" i="22"/>
  <c r="K43" i="22"/>
  <c r="J43" i="22"/>
  <c r="R11" i="21"/>
  <c r="Q11" i="21"/>
  <c r="R13" i="21"/>
  <c r="Q13" i="21"/>
  <c r="J151" i="22"/>
  <c r="L151" i="22"/>
  <c r="K151" i="22"/>
  <c r="L108" i="22"/>
  <c r="K108" i="22"/>
  <c r="J108" i="22"/>
  <c r="L29" i="22"/>
  <c r="K29" i="22"/>
  <c r="J29" i="22"/>
  <c r="R16" i="21"/>
  <c r="Q16" i="21"/>
  <c r="X11" i="22"/>
  <c r="W11" i="22"/>
  <c r="V11" i="22"/>
  <c r="L23" i="22"/>
  <c r="K23" i="22"/>
  <c r="J23" i="22"/>
  <c r="L38" i="22"/>
  <c r="K38" i="22"/>
  <c r="J38" i="22"/>
  <c r="L45" i="22"/>
  <c r="K45" i="22"/>
  <c r="J45" i="22"/>
  <c r="L121" i="22"/>
  <c r="K121" i="22"/>
  <c r="J121" i="22"/>
  <c r="R18" i="21"/>
  <c r="Q18" i="21"/>
  <c r="P22" i="21"/>
  <c r="R14" i="21"/>
  <c r="Q14" i="21"/>
  <c r="L31" i="22"/>
  <c r="K31" i="22"/>
  <c r="J31" i="22"/>
  <c r="K47" i="22"/>
  <c r="J47" i="22"/>
  <c r="L47" i="22"/>
  <c r="R17" i="21"/>
  <c r="Q17" i="21"/>
  <c r="L25" i="22"/>
  <c r="K25" i="22"/>
  <c r="J25" i="22"/>
  <c r="L55" i="22"/>
  <c r="K55" i="22"/>
  <c r="I63" i="22"/>
  <c r="J55" i="22"/>
  <c r="L114" i="22"/>
  <c r="K114" i="22"/>
  <c r="J114" i="22"/>
  <c r="K74" i="26"/>
  <c r="J74" i="26"/>
  <c r="I74" i="26"/>
  <c r="L93" i="22"/>
  <c r="K93" i="22"/>
  <c r="J93" i="22"/>
  <c r="J142" i="22"/>
  <c r="L142" i="22"/>
  <c r="K142" i="22"/>
  <c r="L67" i="22"/>
  <c r="K67" i="22"/>
  <c r="J67" i="22"/>
  <c r="J153" i="22"/>
  <c r="I161" i="22"/>
  <c r="L153" i="22"/>
  <c r="K153" i="22"/>
  <c r="L99" i="22"/>
  <c r="K99" i="22"/>
  <c r="J99" i="22"/>
  <c r="J138" i="22"/>
  <c r="L138" i="22"/>
  <c r="K138" i="22"/>
  <c r="K56" i="27"/>
  <c r="J56" i="27"/>
  <c r="I56" i="27"/>
  <c r="L125" i="22"/>
  <c r="K125" i="22"/>
  <c r="I133" i="22"/>
  <c r="J125" i="22"/>
  <c r="H160" i="27"/>
  <c r="K152" i="27"/>
  <c r="J152" i="27"/>
  <c r="I152" i="27"/>
  <c r="L19" i="22"/>
  <c r="K19" i="22"/>
  <c r="J19" i="22"/>
  <c r="L18" i="22"/>
  <c r="K18" i="22"/>
  <c r="J18" i="22"/>
  <c r="I49" i="22"/>
  <c r="L41" i="22"/>
  <c r="K41" i="22"/>
  <c r="J41" i="22"/>
  <c r="L53" i="22"/>
  <c r="K53" i="22"/>
  <c r="J53" i="22"/>
  <c r="L62" i="22"/>
  <c r="K62" i="22"/>
  <c r="J62" i="22"/>
  <c r="L17" i="22"/>
  <c r="K17" i="22"/>
  <c r="J17" i="22"/>
  <c r="L16" i="22"/>
  <c r="K16" i="22"/>
  <c r="J16" i="22"/>
  <c r="H20" i="26"/>
  <c r="K12" i="26"/>
  <c r="J12" i="26"/>
  <c r="I12" i="26"/>
  <c r="L15" i="22"/>
  <c r="K15" i="22"/>
  <c r="J15" i="22"/>
  <c r="L14" i="22"/>
  <c r="K14" i="22"/>
  <c r="J14" i="22"/>
  <c r="L37" i="22"/>
  <c r="K37" i="22"/>
  <c r="J37" i="22"/>
  <c r="L13" i="22"/>
  <c r="K13" i="22"/>
  <c r="J13" i="22"/>
  <c r="I21" i="22"/>
  <c r="L12" i="22"/>
  <c r="K12" i="22"/>
  <c r="J12" i="22"/>
  <c r="K27" i="26"/>
  <c r="J27" i="26"/>
  <c r="I27" i="26"/>
  <c r="K15" i="26"/>
  <c r="J15" i="26"/>
  <c r="I15" i="26"/>
  <c r="K31" i="26"/>
  <c r="J31" i="26"/>
  <c r="I31" i="26"/>
  <c r="K29" i="27"/>
  <c r="J29" i="27"/>
  <c r="I29" i="27"/>
  <c r="K84" i="26"/>
  <c r="J84" i="26"/>
  <c r="I84" i="26"/>
  <c r="J108" i="26"/>
  <c r="K108" i="26"/>
  <c r="I108" i="26"/>
  <c r="K65" i="26"/>
  <c r="J65" i="26"/>
  <c r="I65" i="26"/>
  <c r="M72" i="28"/>
  <c r="L72" i="28"/>
  <c r="K72" i="28"/>
  <c r="J72" i="28"/>
  <c r="I72" i="28"/>
  <c r="K19" i="26"/>
  <c r="J19" i="26"/>
  <c r="I19" i="26"/>
  <c r="K36" i="26"/>
  <c r="J36" i="26"/>
  <c r="I36" i="26"/>
  <c r="K73" i="27"/>
  <c r="J73" i="27"/>
  <c r="I73" i="27"/>
  <c r="K95" i="27"/>
  <c r="J95" i="27"/>
  <c r="I95" i="27"/>
  <c r="K8" i="26"/>
  <c r="J8" i="26"/>
  <c r="I8" i="26"/>
  <c r="K143" i="26"/>
  <c r="J143" i="26"/>
  <c r="I143" i="26"/>
  <c r="I24" i="26"/>
  <c r="K24" i="26"/>
  <c r="J24" i="26"/>
  <c r="I122" i="26"/>
  <c r="K122" i="26"/>
  <c r="J122" i="26"/>
  <c r="H104" i="26"/>
  <c r="K96" i="26"/>
  <c r="J96" i="26"/>
  <c r="I96" i="26"/>
  <c r="K115" i="26"/>
  <c r="J115" i="26"/>
  <c r="I115" i="26"/>
  <c r="J129" i="26"/>
  <c r="K129" i="26"/>
  <c r="I129" i="26"/>
  <c r="K31" i="27"/>
  <c r="J31" i="27"/>
  <c r="I31" i="27"/>
  <c r="K69" i="27"/>
  <c r="J69" i="27"/>
  <c r="I69" i="27"/>
  <c r="K60" i="26"/>
  <c r="J60" i="26"/>
  <c r="I60" i="26"/>
  <c r="K39" i="27"/>
  <c r="J39" i="27"/>
  <c r="I39" i="27"/>
  <c r="J71" i="27"/>
  <c r="I71" i="27"/>
  <c r="K71" i="27"/>
  <c r="H118" i="26"/>
  <c r="K110" i="26"/>
  <c r="J110" i="26"/>
  <c r="I110" i="26"/>
  <c r="K8" i="27"/>
  <c r="J8" i="27"/>
  <c r="I8" i="27"/>
  <c r="K53" i="26"/>
  <c r="J53" i="26"/>
  <c r="I53" i="26"/>
  <c r="K57" i="26"/>
  <c r="J57" i="26"/>
  <c r="I57" i="26"/>
  <c r="K86" i="26"/>
  <c r="J86" i="26"/>
  <c r="I86" i="26"/>
  <c r="K137" i="26"/>
  <c r="J137" i="26"/>
  <c r="I137" i="26"/>
  <c r="J151" i="26"/>
  <c r="K151" i="26"/>
  <c r="I151" i="26"/>
  <c r="K37" i="26"/>
  <c r="J37" i="26"/>
  <c r="I37" i="26"/>
  <c r="K41" i="26"/>
  <c r="J41" i="26"/>
  <c r="I41" i="26"/>
  <c r="K45" i="26"/>
  <c r="J45" i="26"/>
  <c r="I45" i="26"/>
  <c r="K33" i="27"/>
  <c r="J33" i="27"/>
  <c r="I33" i="27"/>
  <c r="K51" i="27"/>
  <c r="J51" i="27"/>
  <c r="I51" i="27"/>
  <c r="K29" i="26"/>
  <c r="J29" i="26"/>
  <c r="I29" i="26"/>
  <c r="K33" i="26"/>
  <c r="J33" i="26"/>
  <c r="I33" i="26"/>
  <c r="K131" i="26"/>
  <c r="J131" i="26"/>
  <c r="I131" i="26"/>
  <c r="K41" i="27"/>
  <c r="J41" i="27"/>
  <c r="I41" i="27"/>
  <c r="K17" i="26"/>
  <c r="J17" i="26"/>
  <c r="I17" i="26"/>
  <c r="K22" i="26"/>
  <c r="J22" i="26"/>
  <c r="I22" i="26"/>
  <c r="H34" i="26"/>
  <c r="K26" i="26"/>
  <c r="J26" i="26"/>
  <c r="I26" i="26"/>
  <c r="K67" i="26"/>
  <c r="J67" i="26"/>
  <c r="I67" i="26"/>
  <c r="K117" i="26"/>
  <c r="I117" i="26"/>
  <c r="J117" i="26"/>
  <c r="K10" i="27"/>
  <c r="J10" i="27"/>
  <c r="I10" i="27"/>
  <c r="K10" i="26"/>
  <c r="J10" i="26"/>
  <c r="I10" i="26"/>
  <c r="K14" i="26"/>
  <c r="J14" i="26"/>
  <c r="I14" i="26"/>
  <c r="K98" i="26"/>
  <c r="J98" i="26"/>
  <c r="I98" i="26"/>
  <c r="K112" i="26"/>
  <c r="J112" i="26"/>
  <c r="I112" i="26"/>
  <c r="K17" i="27"/>
  <c r="J17" i="27"/>
  <c r="I17" i="27"/>
  <c r="K153" i="26"/>
  <c r="J153" i="26"/>
  <c r="I153" i="26"/>
  <c r="K43" i="27"/>
  <c r="J43" i="27"/>
  <c r="I43" i="27"/>
  <c r="K145" i="26"/>
  <c r="J145" i="26"/>
  <c r="I145" i="26"/>
  <c r="K42" i="26"/>
  <c r="J42" i="26"/>
  <c r="I42" i="26"/>
  <c r="K82" i="26"/>
  <c r="J82" i="26"/>
  <c r="I82" i="26"/>
  <c r="H90" i="26"/>
  <c r="K139" i="26"/>
  <c r="I139" i="26"/>
  <c r="J139" i="26"/>
  <c r="K88" i="26"/>
  <c r="J88" i="26"/>
  <c r="I88" i="26"/>
  <c r="K134" i="26"/>
  <c r="J134" i="26"/>
  <c r="I134" i="26"/>
  <c r="H20" i="27"/>
  <c r="K12" i="27"/>
  <c r="J12" i="27"/>
  <c r="I12" i="27"/>
  <c r="J72" i="26"/>
  <c r="K72" i="26"/>
  <c r="I72" i="26"/>
  <c r="K120" i="26"/>
  <c r="J120" i="26"/>
  <c r="I120" i="26"/>
  <c r="K19" i="27"/>
  <c r="J19" i="27"/>
  <c r="I19" i="27"/>
  <c r="K64" i="27"/>
  <c r="J64" i="27"/>
  <c r="I64" i="27"/>
  <c r="M37" i="28"/>
  <c r="L37" i="28"/>
  <c r="K37" i="28"/>
  <c r="J37" i="28"/>
  <c r="I37" i="28"/>
  <c r="K58" i="26"/>
  <c r="J58" i="26"/>
  <c r="I58" i="26"/>
  <c r="I51" i="26"/>
  <c r="K51" i="26"/>
  <c r="J51" i="26"/>
  <c r="I55" i="26"/>
  <c r="K55" i="26"/>
  <c r="J55" i="26"/>
  <c r="I79" i="26"/>
  <c r="K79" i="26"/>
  <c r="J79" i="26"/>
  <c r="K94" i="26"/>
  <c r="J94" i="26"/>
  <c r="I94" i="26"/>
  <c r="I100" i="26"/>
  <c r="K100" i="26"/>
  <c r="J100" i="26"/>
  <c r="I155" i="26"/>
  <c r="K155" i="26"/>
  <c r="J155" i="26"/>
  <c r="J87" i="27"/>
  <c r="I87" i="27"/>
  <c r="K87" i="27"/>
  <c r="K39" i="26"/>
  <c r="J39" i="26"/>
  <c r="I39" i="26"/>
  <c r="K43" i="26"/>
  <c r="J43" i="26"/>
  <c r="I43" i="26"/>
  <c r="K47" i="26"/>
  <c r="J47" i="26"/>
  <c r="I47" i="26"/>
  <c r="K69" i="26"/>
  <c r="J69" i="26"/>
  <c r="I69" i="26"/>
  <c r="K141" i="26"/>
  <c r="J141" i="26"/>
  <c r="I141" i="26"/>
  <c r="J142" i="27"/>
  <c r="I142" i="27"/>
  <c r="K142" i="27"/>
  <c r="K74" i="27"/>
  <c r="I74" i="27"/>
  <c r="J74" i="27"/>
  <c r="I111" i="27"/>
  <c r="K111" i="27"/>
  <c r="J111" i="27"/>
  <c r="K150" i="27"/>
  <c r="J150" i="27"/>
  <c r="I150" i="27"/>
  <c r="L131" i="28"/>
  <c r="K131" i="28"/>
  <c r="J131" i="28"/>
  <c r="M131" i="28"/>
  <c r="I131" i="28"/>
  <c r="K19" i="28"/>
  <c r="J19" i="28"/>
  <c r="I19" i="28"/>
  <c r="M19" i="28"/>
  <c r="L19" i="28"/>
  <c r="M99" i="28"/>
  <c r="L99" i="28"/>
  <c r="K99" i="28"/>
  <c r="J99" i="28"/>
  <c r="I99" i="28"/>
  <c r="K46" i="27"/>
  <c r="J46" i="27"/>
  <c r="I46" i="27"/>
  <c r="H62" i="27"/>
  <c r="K54" i="27"/>
  <c r="J54" i="27"/>
  <c r="I54" i="27"/>
  <c r="K61" i="27"/>
  <c r="J61" i="27"/>
  <c r="I61" i="27"/>
  <c r="K83" i="27"/>
  <c r="J83" i="27"/>
  <c r="I83" i="27"/>
  <c r="K89" i="27"/>
  <c r="J89" i="27"/>
  <c r="I89" i="27"/>
  <c r="M116" i="28"/>
  <c r="L116" i="28"/>
  <c r="K116" i="28"/>
  <c r="J116" i="28"/>
  <c r="I116" i="28"/>
  <c r="K106" i="26"/>
  <c r="J106" i="26"/>
  <c r="I106" i="26"/>
  <c r="M75" i="28"/>
  <c r="L75" i="28"/>
  <c r="K75" i="28"/>
  <c r="J75" i="28"/>
  <c r="I75" i="28"/>
  <c r="K158" i="26"/>
  <c r="J158" i="26"/>
  <c r="I158" i="26"/>
  <c r="K15" i="27"/>
  <c r="J15" i="27"/>
  <c r="I15" i="27"/>
  <c r="K37" i="27"/>
  <c r="J37" i="27"/>
  <c r="I37" i="27"/>
  <c r="M58" i="28"/>
  <c r="L58" i="28"/>
  <c r="K58" i="28"/>
  <c r="J58" i="28"/>
  <c r="I58" i="28"/>
  <c r="K103" i="26"/>
  <c r="J103" i="26"/>
  <c r="I103" i="26"/>
  <c r="K25" i="27"/>
  <c r="J25" i="27"/>
  <c r="I25" i="27"/>
  <c r="K70" i="26"/>
  <c r="J70" i="26"/>
  <c r="I70" i="26"/>
  <c r="K80" i="26"/>
  <c r="J80" i="26"/>
  <c r="I80" i="26"/>
  <c r="M44" i="28"/>
  <c r="L44" i="28"/>
  <c r="K44" i="28"/>
  <c r="J44" i="28"/>
  <c r="I44" i="28"/>
  <c r="M61" i="28"/>
  <c r="L61" i="28"/>
  <c r="K61" i="28"/>
  <c r="J61" i="28"/>
  <c r="I61" i="28"/>
  <c r="M27" i="28"/>
  <c r="L27" i="28"/>
  <c r="K27" i="28"/>
  <c r="J27" i="28"/>
  <c r="I27" i="28"/>
  <c r="K23" i="26"/>
  <c r="I23" i="26"/>
  <c r="J23" i="26"/>
  <c r="L29" i="28"/>
  <c r="K29" i="28"/>
  <c r="J29" i="28"/>
  <c r="M29" i="28"/>
  <c r="I29" i="28"/>
  <c r="K64" i="26"/>
  <c r="J64" i="26"/>
  <c r="I64" i="26"/>
  <c r="J47" i="28"/>
  <c r="M47" i="28"/>
  <c r="L47" i="28"/>
  <c r="K47" i="28"/>
  <c r="I47" i="28"/>
  <c r="M89" i="28"/>
  <c r="L89" i="28"/>
  <c r="K89" i="28"/>
  <c r="J89" i="28"/>
  <c r="I89" i="28"/>
  <c r="H122" i="30"/>
  <c r="F168" i="30"/>
  <c r="H131" i="30"/>
  <c r="J35" i="31"/>
  <c r="J108" i="30"/>
  <c r="J122" i="30"/>
  <c r="F148" i="30"/>
  <c r="F171" i="30"/>
  <c r="L122" i="30"/>
  <c r="J131" i="30"/>
  <c r="L97" i="30"/>
  <c r="L102" i="30"/>
  <c r="F109" i="30"/>
  <c r="H174" i="30"/>
  <c r="F209" i="30"/>
  <c r="J259" i="30"/>
  <c r="J53" i="31"/>
  <c r="J103" i="30"/>
  <c r="F131" i="30"/>
  <c r="H124" i="30"/>
  <c r="L212" i="30"/>
  <c r="F98" i="30"/>
  <c r="L98" i="30"/>
  <c r="L103" i="30"/>
  <c r="J124" i="30"/>
  <c r="F141" i="30"/>
  <c r="J153" i="30"/>
  <c r="L124" i="30"/>
  <c r="J99" i="30"/>
  <c r="F104" i="30"/>
  <c r="H141" i="30"/>
  <c r="J241" i="30"/>
  <c r="J277" i="30"/>
  <c r="L99" i="30"/>
  <c r="H126" i="30"/>
  <c r="H143" i="30"/>
  <c r="L32" i="30"/>
  <c r="L36" i="30"/>
  <c r="J143" i="30"/>
  <c r="J187" i="30"/>
  <c r="H120" i="30"/>
  <c r="J126" i="30"/>
  <c r="F100" i="30"/>
  <c r="F106" i="30"/>
  <c r="J145" i="30"/>
  <c r="H190" i="30"/>
  <c r="L100" i="30"/>
  <c r="H106" i="30"/>
  <c r="J120" i="30"/>
  <c r="J163" i="30"/>
  <c r="J150" i="30"/>
  <c r="H153" i="30"/>
  <c r="H163" i="30"/>
  <c r="J170" i="30"/>
  <c r="F174" i="30"/>
  <c r="H194" i="30"/>
  <c r="L211" i="30"/>
  <c r="J215" i="30"/>
  <c r="L252" i="30"/>
  <c r="H256" i="30"/>
  <c r="L277" i="30"/>
  <c r="F64" i="31"/>
  <c r="L165" i="30"/>
  <c r="J190" i="30"/>
  <c r="F273" i="30"/>
  <c r="F279" i="30"/>
  <c r="L35" i="31"/>
  <c r="L53" i="31"/>
  <c r="F86" i="31"/>
  <c r="J231" i="30"/>
  <c r="H234" i="30"/>
  <c r="H238" i="30"/>
  <c r="F263" i="30"/>
  <c r="J256" i="30"/>
  <c r="L13" i="33"/>
  <c r="J141" i="30"/>
  <c r="L143" i="30"/>
  <c r="F188" i="30"/>
  <c r="L190" i="30"/>
  <c r="J219" i="30"/>
  <c r="F261" i="30"/>
  <c r="H273" i="30"/>
  <c r="H279" i="30"/>
  <c r="H129" i="30"/>
  <c r="F146" i="30"/>
  <c r="H148" i="30"/>
  <c r="F151" i="30"/>
  <c r="L163" i="30"/>
  <c r="J168" i="30"/>
  <c r="H171" i="30"/>
  <c r="J174" i="30"/>
  <c r="H185" i="30"/>
  <c r="H209" i="30"/>
  <c r="F216" i="30"/>
  <c r="F253" i="30"/>
  <c r="L256" i="30"/>
  <c r="L37" i="31"/>
  <c r="L141" i="30"/>
  <c r="F166" i="30"/>
  <c r="L168" i="30"/>
  <c r="J185" i="30"/>
  <c r="H188" i="30"/>
  <c r="H261" i="30"/>
  <c r="J273" i="30"/>
  <c r="J279" i="30"/>
  <c r="F127" i="30"/>
  <c r="J129" i="30"/>
  <c r="F144" i="30"/>
  <c r="H146" i="30"/>
  <c r="J148" i="30"/>
  <c r="H151" i="30"/>
  <c r="H166" i="30"/>
  <c r="J171" i="30"/>
  <c r="J191" i="30"/>
  <c r="F195" i="30"/>
  <c r="J209" i="30"/>
  <c r="F213" i="30"/>
  <c r="H217" i="30"/>
  <c r="H253" i="30"/>
  <c r="L273" i="30"/>
  <c r="L279" i="30"/>
  <c r="F38" i="31"/>
  <c r="F56" i="31"/>
  <c r="J21" i="33"/>
  <c r="AB13" i="35"/>
  <c r="F257" i="30"/>
  <c r="H281" i="30"/>
  <c r="H98" i="30"/>
  <c r="H100" i="30"/>
  <c r="H102" i="30"/>
  <c r="H104" i="30"/>
  <c r="H109" i="30"/>
  <c r="F119" i="30"/>
  <c r="F121" i="30"/>
  <c r="F123" i="30"/>
  <c r="F125" i="30"/>
  <c r="H127" i="30"/>
  <c r="F142" i="30"/>
  <c r="H144" i="30"/>
  <c r="J146" i="30"/>
  <c r="J151" i="30"/>
  <c r="L209" i="30"/>
  <c r="H213" i="30"/>
  <c r="J217" i="30"/>
  <c r="H254" i="30"/>
  <c r="F262" i="30"/>
  <c r="F275" i="30"/>
  <c r="J56" i="31"/>
  <c r="H257" i="30"/>
  <c r="J281" i="30"/>
  <c r="H31" i="31"/>
  <c r="J40" i="31"/>
  <c r="J98" i="30"/>
  <c r="J100" i="30"/>
  <c r="J102" i="30"/>
  <c r="J104" i="30"/>
  <c r="F107" i="30"/>
  <c r="J109" i="30"/>
  <c r="H119" i="30"/>
  <c r="H121" i="30"/>
  <c r="H123" i="30"/>
  <c r="H142" i="30"/>
  <c r="J144" i="30"/>
  <c r="L146" i="30"/>
  <c r="F149" i="30"/>
  <c r="F207" i="30"/>
  <c r="L210" i="30"/>
  <c r="J213" i="30"/>
  <c r="J254" i="30"/>
  <c r="H263" i="30"/>
  <c r="H275" i="30"/>
  <c r="H58" i="31"/>
  <c r="H258" i="30"/>
  <c r="J119" i="30"/>
  <c r="J121" i="30"/>
  <c r="J123" i="30"/>
  <c r="J125" i="30"/>
  <c r="H130" i="30"/>
  <c r="J142" i="30"/>
  <c r="L144" i="30"/>
  <c r="H149" i="30"/>
  <c r="F152" i="30"/>
  <c r="L164" i="30"/>
  <c r="F167" i="30"/>
  <c r="J169" i="30"/>
  <c r="H172" i="30"/>
  <c r="H207" i="30"/>
  <c r="L213" i="30"/>
  <c r="F218" i="30"/>
  <c r="F251" i="30"/>
  <c r="L254" i="30"/>
  <c r="J263" i="30"/>
  <c r="J275" i="30"/>
  <c r="F282" i="30"/>
  <c r="J58" i="31"/>
  <c r="H77" i="31"/>
  <c r="H152" i="30"/>
  <c r="J258" i="30"/>
  <c r="L275" i="30"/>
  <c r="H33" i="31"/>
  <c r="H43" i="31"/>
  <c r="J79" i="31"/>
  <c r="F105" i="30"/>
  <c r="J107" i="30"/>
  <c r="L119" i="30"/>
  <c r="L121" i="30"/>
  <c r="L123" i="30"/>
  <c r="L142" i="30"/>
  <c r="F147" i="30"/>
  <c r="J149" i="30"/>
  <c r="J207" i="30"/>
  <c r="F211" i="30"/>
  <c r="H218" i="30"/>
  <c r="H251" i="30"/>
  <c r="J60" i="31"/>
  <c r="J152" i="30"/>
  <c r="F277" i="30"/>
  <c r="F284" i="30"/>
  <c r="J33" i="31"/>
  <c r="J43" i="31"/>
  <c r="F97" i="30"/>
  <c r="F99" i="30"/>
  <c r="F101" i="30"/>
  <c r="F103" i="30"/>
  <c r="H105" i="30"/>
  <c r="F145" i="30"/>
  <c r="H147" i="30"/>
  <c r="L207" i="30"/>
  <c r="H211" i="30"/>
  <c r="F215" i="30"/>
  <c r="J218" i="30"/>
  <c r="H252" i="30"/>
  <c r="F255" i="30"/>
  <c r="J147" i="30"/>
  <c r="F150" i="30"/>
  <c r="H277" i="30"/>
  <c r="H284" i="30"/>
  <c r="J82" i="31"/>
  <c r="J53" i="33"/>
  <c r="H97" i="30"/>
  <c r="H99" i="30"/>
  <c r="H101" i="30"/>
  <c r="H103" i="30"/>
  <c r="J105" i="30"/>
  <c r="F108" i="30"/>
  <c r="F143" i="30"/>
  <c r="H145" i="30"/>
  <c r="H150" i="30"/>
  <c r="F153" i="30"/>
  <c r="L208" i="30"/>
  <c r="J211" i="30"/>
  <c r="H215" i="30"/>
  <c r="J252" i="30"/>
  <c r="H255" i="30"/>
  <c r="H259" i="30"/>
  <c r="J284" i="30"/>
  <c r="J16" i="33"/>
  <c r="V18" i="35"/>
  <c r="J62" i="33"/>
  <c r="L76" i="33"/>
  <c r="J57" i="33"/>
  <c r="J31" i="31"/>
  <c r="L33" i="31"/>
  <c r="J77" i="31"/>
  <c r="L57" i="33"/>
  <c r="J61" i="31"/>
  <c r="J64" i="31"/>
  <c r="J80" i="31"/>
  <c r="J10" i="33"/>
  <c r="H43" i="33"/>
  <c r="J64" i="33"/>
  <c r="AB16" i="35"/>
  <c r="F259" i="30"/>
  <c r="J261" i="30"/>
  <c r="L12" i="31"/>
  <c r="L14" i="31"/>
  <c r="L31" i="31"/>
  <c r="J38" i="31"/>
  <c r="L80" i="31"/>
  <c r="J83" i="31"/>
  <c r="Q6" i="37"/>
  <c r="P6" i="37"/>
  <c r="J36" i="31"/>
  <c r="J41" i="31"/>
  <c r="J54" i="31"/>
  <c r="L78" i="33"/>
  <c r="Q11" i="36"/>
  <c r="P11" i="36"/>
  <c r="J75" i="31"/>
  <c r="L53" i="33"/>
  <c r="H17" i="35"/>
  <c r="J34" i="31"/>
  <c r="L36" i="31"/>
  <c r="J59" i="31"/>
  <c r="J78" i="31"/>
  <c r="J87" i="31"/>
  <c r="AK8" i="35"/>
  <c r="AJ8" i="35"/>
  <c r="AL8" i="35"/>
  <c r="H11" i="35"/>
  <c r="L59" i="33"/>
  <c r="AB17" i="35"/>
  <c r="L80" i="33"/>
  <c r="F208" i="30"/>
  <c r="F210" i="30"/>
  <c r="F212" i="30"/>
  <c r="F214" i="30"/>
  <c r="J216" i="30"/>
  <c r="F219" i="30"/>
  <c r="L32" i="31"/>
  <c r="V12" i="35"/>
  <c r="H208" i="30"/>
  <c r="H210" i="30"/>
  <c r="H212" i="30"/>
  <c r="H214" i="30"/>
  <c r="H219" i="30"/>
  <c r="L13" i="31"/>
  <c r="L15" i="31"/>
  <c r="AS12" i="35"/>
  <c r="AR12" i="35"/>
  <c r="AT12" i="35"/>
  <c r="L55" i="33"/>
  <c r="AR9" i="35"/>
  <c r="AT9" i="35"/>
  <c r="AS9" i="35"/>
  <c r="J208" i="30"/>
  <c r="J210" i="30"/>
  <c r="J212" i="30"/>
  <c r="V9" i="35"/>
  <c r="AB10" i="35"/>
  <c r="W32" i="35"/>
  <c r="V32" i="35"/>
  <c r="Q22" i="36"/>
  <c r="P22" i="36"/>
  <c r="H14" i="35"/>
  <c r="V15" i="35"/>
  <c r="AB18" i="35"/>
  <c r="Q29" i="36"/>
  <c r="P29" i="36"/>
  <c r="AT8" i="35"/>
  <c r="AS8" i="35"/>
  <c r="AR8" i="35"/>
  <c r="H16" i="35"/>
  <c r="Q17" i="36"/>
  <c r="P17" i="36"/>
  <c r="V8" i="35"/>
  <c r="J8" i="36"/>
  <c r="I8" i="36"/>
  <c r="J24" i="36"/>
  <c r="I24" i="36"/>
  <c r="H10" i="35"/>
  <c r="W38" i="35"/>
  <c r="V38" i="35"/>
  <c r="J13" i="36"/>
  <c r="I13" i="36"/>
  <c r="Q14" i="37"/>
  <c r="P14" i="37"/>
  <c r="Q31" i="36"/>
  <c r="P31" i="36"/>
  <c r="W36" i="35"/>
  <c r="V36" i="35"/>
  <c r="L31" i="33"/>
  <c r="L33" i="33"/>
  <c r="L35" i="33"/>
  <c r="L37" i="33"/>
  <c r="L81" i="33"/>
  <c r="W34" i="35"/>
  <c r="V34" i="35"/>
  <c r="Q42" i="36"/>
  <c r="P42" i="36"/>
  <c r="Q18" i="37"/>
  <c r="P18" i="37"/>
  <c r="L79" i="33"/>
  <c r="Q9" i="36"/>
  <c r="P9" i="36"/>
  <c r="L75" i="33"/>
  <c r="L77" i="33"/>
  <c r="I30" i="35"/>
  <c r="H30" i="35"/>
  <c r="Q14" i="36"/>
  <c r="P14" i="36"/>
  <c r="H9" i="35"/>
  <c r="Q19" i="36"/>
  <c r="P19" i="36"/>
  <c r="H18" i="35"/>
  <c r="I39" i="35"/>
  <c r="H39" i="35"/>
  <c r="W39" i="35"/>
  <c r="V39" i="35"/>
  <c r="P8" i="36"/>
  <c r="Q8" i="36"/>
  <c r="W37" i="35"/>
  <c r="V37" i="35"/>
  <c r="I40" i="35"/>
  <c r="H40" i="35"/>
  <c r="Q46" i="36"/>
  <c r="P46" i="36"/>
  <c r="Q25" i="37"/>
  <c r="P25" i="37"/>
  <c r="W33" i="35"/>
  <c r="V33" i="35"/>
  <c r="W35" i="35"/>
  <c r="V35" i="35"/>
  <c r="Q6" i="36"/>
  <c r="P6" i="36"/>
  <c r="Q8" i="37"/>
  <c r="P8" i="37"/>
  <c r="F7" i="40"/>
  <c r="P12" i="37"/>
  <c r="Q12" i="37"/>
  <c r="J7" i="40"/>
  <c r="H7" i="40"/>
  <c r="I7" i="40"/>
  <c r="H12" i="41"/>
  <c r="J12" i="41"/>
  <c r="I12" i="41"/>
  <c r="F10" i="45"/>
  <c r="Q41" i="37"/>
  <c r="P41" i="37"/>
  <c r="Q47" i="37"/>
  <c r="P47" i="37"/>
  <c r="S8" i="39"/>
  <c r="T8" i="39"/>
  <c r="R8" i="39"/>
  <c r="Q8" i="39"/>
  <c r="P8" i="39"/>
  <c r="O8" i="39"/>
  <c r="Q50" i="36"/>
  <c r="P50" i="36"/>
  <c r="Q10" i="37"/>
  <c r="P10" i="37"/>
  <c r="Q29" i="37"/>
  <c r="P29" i="37"/>
  <c r="O125" i="39"/>
  <c r="N125" i="39"/>
  <c r="M125" i="39"/>
  <c r="L125" i="39"/>
  <c r="K125" i="39"/>
  <c r="N7" i="40"/>
  <c r="M7" i="40"/>
  <c r="L7" i="40"/>
  <c r="Q35" i="36"/>
  <c r="P35" i="36"/>
  <c r="Q31" i="37"/>
  <c r="P31" i="37"/>
  <c r="Q39" i="37"/>
  <c r="P39" i="37"/>
  <c r="J12" i="40"/>
  <c r="I12" i="40"/>
  <c r="H12" i="40"/>
  <c r="G6" i="39"/>
  <c r="H6" i="39"/>
  <c r="F11" i="43"/>
  <c r="I7" i="39"/>
  <c r="H7" i="39"/>
  <c r="G7" i="39"/>
  <c r="E129" i="39"/>
  <c r="T8" i="40"/>
  <c r="Q8" i="40"/>
  <c r="S8" i="40"/>
  <c r="R8" i="40"/>
  <c r="P8" i="40"/>
  <c r="I127" i="39"/>
  <c r="H127" i="39"/>
  <c r="G127" i="39"/>
  <c r="F129" i="39"/>
  <c r="T6" i="41"/>
  <c r="P6" i="41"/>
  <c r="R6" i="41"/>
  <c r="S6" i="41"/>
  <c r="Q6" i="41"/>
  <c r="I136" i="41"/>
  <c r="H136" i="41"/>
  <c r="G136" i="41"/>
  <c r="J8" i="42"/>
  <c r="M8" i="42"/>
  <c r="I8" i="42"/>
  <c r="H8" i="42"/>
  <c r="M7" i="39"/>
  <c r="L7" i="39"/>
  <c r="K7" i="39"/>
  <c r="O136" i="41"/>
  <c r="N136" i="41"/>
  <c r="M136" i="41"/>
  <c r="L136" i="41"/>
  <c r="K136" i="41"/>
  <c r="J7" i="41"/>
  <c r="I7" i="41"/>
  <c r="H7" i="41"/>
  <c r="I137" i="41"/>
  <c r="H137" i="41"/>
  <c r="G137" i="41"/>
  <c r="O127" i="39"/>
  <c r="N127" i="39"/>
  <c r="M127" i="39"/>
  <c r="L127" i="39"/>
  <c r="K127" i="39"/>
  <c r="J129" i="39"/>
  <c r="N9" i="41"/>
  <c r="L9" i="41"/>
  <c r="T7" i="39"/>
  <c r="S7" i="39"/>
  <c r="R7" i="39"/>
  <c r="Q7" i="39"/>
  <c r="O7" i="39"/>
  <c r="P7" i="39"/>
  <c r="I10" i="39"/>
  <c r="G10" i="39"/>
  <c r="H10" i="39"/>
  <c r="M10" i="39"/>
  <c r="L10" i="39"/>
  <c r="K10" i="39"/>
  <c r="O137" i="40"/>
  <c r="N137" i="40"/>
  <c r="K137" i="40"/>
  <c r="M137" i="40"/>
  <c r="L137" i="40"/>
  <c r="J9" i="43"/>
  <c r="H9" i="43"/>
  <c r="I9" i="43"/>
  <c r="K8" i="39"/>
  <c r="M8" i="39"/>
  <c r="L8" i="39"/>
  <c r="F6" i="40"/>
  <c r="T10" i="40"/>
  <c r="AA20" i="40" s="1"/>
  <c r="S10" i="40"/>
  <c r="R10" i="40"/>
  <c r="Q10" i="40"/>
  <c r="P10" i="40"/>
  <c r="J10" i="41"/>
  <c r="I10" i="41"/>
  <c r="H10" i="41"/>
  <c r="N7" i="43"/>
  <c r="M7" i="43"/>
  <c r="L7" i="43"/>
  <c r="N13" i="43"/>
  <c r="L13" i="43"/>
  <c r="M13" i="43"/>
  <c r="O137" i="43"/>
  <c r="N137" i="43"/>
  <c r="M137" i="43"/>
  <c r="L137" i="43"/>
  <c r="O145" i="43"/>
  <c r="N145" i="43"/>
  <c r="M145" i="43"/>
  <c r="L145" i="43"/>
  <c r="T7" i="42"/>
  <c r="AA19" i="42" s="1"/>
  <c r="S7" i="42"/>
  <c r="R7" i="42"/>
  <c r="Q7" i="42"/>
  <c r="P7" i="42"/>
  <c r="S9" i="44"/>
  <c r="R9" i="44"/>
  <c r="Q9" i="44"/>
  <c r="P9" i="44"/>
  <c r="T9" i="44"/>
  <c r="E146" i="43"/>
  <c r="J13" i="45"/>
  <c r="I13" i="45"/>
  <c r="H13" i="45"/>
  <c r="F12" i="40"/>
  <c r="F10" i="41"/>
  <c r="F8" i="42"/>
  <c r="F9" i="43"/>
  <c r="R13" i="43"/>
  <c r="Q13" i="43"/>
  <c r="P13" i="43"/>
  <c r="T13" i="43"/>
  <c r="S13" i="43"/>
  <c r="F146" i="43"/>
  <c r="H136" i="43"/>
  <c r="K136" i="43" s="1"/>
  <c r="G136" i="43"/>
  <c r="I136" i="43"/>
  <c r="O144" i="44"/>
  <c r="M144" i="44"/>
  <c r="L144" i="44"/>
  <c r="N144" i="44"/>
  <c r="N11" i="42"/>
  <c r="M11" i="42"/>
  <c r="L11" i="42"/>
  <c r="F14" i="43"/>
  <c r="I145" i="45"/>
  <c r="H145" i="45"/>
  <c r="G145" i="45"/>
  <c r="J6" i="40"/>
  <c r="I6" i="40"/>
  <c r="H6" i="40"/>
  <c r="M9" i="42"/>
  <c r="J9" i="42"/>
  <c r="I9" i="42"/>
  <c r="H9" i="42"/>
  <c r="N9" i="43"/>
  <c r="M9" i="43"/>
  <c r="L9" i="43"/>
  <c r="T15" i="43"/>
  <c r="S15" i="43"/>
  <c r="R15" i="43"/>
  <c r="Q15" i="43"/>
  <c r="P15" i="43"/>
  <c r="S7" i="40"/>
  <c r="T7" i="40"/>
  <c r="R7" i="40"/>
  <c r="AA19" i="40"/>
  <c r="Q7" i="40"/>
  <c r="P7" i="40"/>
  <c r="F9" i="40"/>
  <c r="M12" i="40"/>
  <c r="N12" i="40"/>
  <c r="L12" i="40"/>
  <c r="S10" i="41"/>
  <c r="AA20" i="41"/>
  <c r="T10" i="41"/>
  <c r="R10" i="41"/>
  <c r="Q10" i="41"/>
  <c r="P10" i="41"/>
  <c r="I139" i="43"/>
  <c r="H139" i="43"/>
  <c r="K139" i="43" s="1"/>
  <c r="G139" i="43"/>
  <c r="L6" i="39"/>
  <c r="K6" i="39"/>
  <c r="D11" i="39"/>
  <c r="G135" i="40"/>
  <c r="I135" i="40"/>
  <c r="H135" i="40"/>
  <c r="H135" i="42"/>
  <c r="I135" i="42"/>
  <c r="G135" i="42"/>
  <c r="N14" i="43"/>
  <c r="M14" i="43"/>
  <c r="L14" i="43"/>
  <c r="G9" i="39"/>
  <c r="I9" i="39"/>
  <c r="H9" i="39"/>
  <c r="F11" i="39"/>
  <c r="N9" i="40"/>
  <c r="L9" i="40"/>
  <c r="I138" i="41"/>
  <c r="H138" i="41"/>
  <c r="G138" i="41"/>
  <c r="F6" i="42"/>
  <c r="R12" i="42"/>
  <c r="T12" i="42"/>
  <c r="S12" i="42"/>
  <c r="Q12" i="42"/>
  <c r="P12" i="42"/>
  <c r="J6" i="44"/>
  <c r="G16" i="44"/>
  <c r="I6" i="44"/>
  <c r="H6" i="44"/>
  <c r="N6" i="40"/>
  <c r="M6" i="40"/>
  <c r="L6" i="40"/>
  <c r="N8" i="41"/>
  <c r="L8" i="41"/>
  <c r="J6" i="42"/>
  <c r="I6" i="42"/>
  <c r="H6" i="42"/>
  <c r="L9" i="42"/>
  <c r="N9" i="42"/>
  <c r="Q6" i="39"/>
  <c r="R6" i="39"/>
  <c r="P6" i="39"/>
  <c r="O6" i="39"/>
  <c r="S10" i="39"/>
  <c r="R10" i="39"/>
  <c r="Q10" i="39"/>
  <c r="P10" i="39"/>
  <c r="O10" i="39"/>
  <c r="T10" i="39"/>
  <c r="O124" i="39"/>
  <c r="N124" i="39"/>
  <c r="M124" i="39"/>
  <c r="L124" i="39"/>
  <c r="O128" i="39"/>
  <c r="N128" i="39"/>
  <c r="M128" i="39"/>
  <c r="L128" i="39"/>
  <c r="K128" i="39"/>
  <c r="M9" i="39"/>
  <c r="L9" i="39"/>
  <c r="K9" i="39"/>
  <c r="J11" i="39"/>
  <c r="F11" i="40"/>
  <c r="G137" i="45"/>
  <c r="I137" i="45"/>
  <c r="H137" i="45"/>
  <c r="I8" i="39"/>
  <c r="H8" i="39"/>
  <c r="G8" i="39"/>
  <c r="O126" i="39"/>
  <c r="M126" i="39"/>
  <c r="L126" i="39"/>
  <c r="K126" i="39"/>
  <c r="N126" i="39"/>
  <c r="R9" i="40"/>
  <c r="Q9" i="40"/>
  <c r="P9" i="40"/>
  <c r="T9" i="40"/>
  <c r="S9" i="40"/>
  <c r="Q9" i="42"/>
  <c r="T9" i="42"/>
  <c r="S9" i="42"/>
  <c r="R9" i="42"/>
  <c r="P9" i="42"/>
  <c r="T6" i="40"/>
  <c r="Q6" i="40"/>
  <c r="R6" i="40"/>
  <c r="P6" i="40"/>
  <c r="S6" i="40"/>
  <c r="G134" i="40"/>
  <c r="I134" i="40"/>
  <c r="H134" i="40"/>
  <c r="N11" i="43"/>
  <c r="M11" i="43"/>
  <c r="L11" i="43"/>
  <c r="J7" i="44"/>
  <c r="I7" i="44"/>
  <c r="H7" i="44"/>
  <c r="Q11" i="40"/>
  <c r="P11" i="40"/>
  <c r="T11" i="40"/>
  <c r="S11" i="40"/>
  <c r="R11" i="40"/>
  <c r="F7" i="43"/>
  <c r="O142" i="43"/>
  <c r="N142" i="43"/>
  <c r="M142" i="43"/>
  <c r="L142" i="43"/>
  <c r="L9" i="44"/>
  <c r="N9" i="44"/>
  <c r="M9" i="44"/>
  <c r="O138" i="44"/>
  <c r="N138" i="44"/>
  <c r="M138" i="44"/>
  <c r="L138" i="44"/>
  <c r="T6" i="45"/>
  <c r="S6" i="45"/>
  <c r="R6" i="45"/>
  <c r="Q6" i="45"/>
  <c r="P6" i="45"/>
  <c r="O16" i="45"/>
  <c r="N11" i="39"/>
  <c r="T9" i="39"/>
  <c r="S9" i="39"/>
  <c r="R9" i="39"/>
  <c r="Q9" i="39"/>
  <c r="P9" i="39"/>
  <c r="O9" i="39"/>
  <c r="D129" i="39"/>
  <c r="L10" i="40"/>
  <c r="M10" i="40"/>
  <c r="N10" i="40"/>
  <c r="F12" i="41"/>
  <c r="M7" i="42"/>
  <c r="N7" i="42"/>
  <c r="L7" i="42"/>
  <c r="N13" i="45"/>
  <c r="M13" i="45"/>
  <c r="L13" i="45"/>
  <c r="I139" i="45"/>
  <c r="H139" i="45"/>
  <c r="G139" i="45"/>
  <c r="N139" i="43"/>
  <c r="M139" i="43"/>
  <c r="L139" i="43"/>
  <c r="O139" i="43"/>
  <c r="O140" i="45"/>
  <c r="N140" i="45"/>
  <c r="M140" i="45"/>
  <c r="L140" i="45"/>
  <c r="O137" i="42"/>
  <c r="K137" i="42"/>
  <c r="N137" i="42"/>
  <c r="M137" i="42"/>
  <c r="L137" i="42"/>
  <c r="N14" i="45"/>
  <c r="M14" i="45"/>
  <c r="L14" i="45"/>
  <c r="T10" i="44"/>
  <c r="S10" i="44"/>
  <c r="R10" i="44"/>
  <c r="Q10" i="44"/>
  <c r="P10" i="44"/>
  <c r="F14" i="44"/>
  <c r="O135" i="40"/>
  <c r="N135" i="40"/>
  <c r="M135" i="40"/>
  <c r="L135" i="40"/>
  <c r="K135" i="40"/>
  <c r="P11" i="42"/>
  <c r="T11" i="42"/>
  <c r="R11" i="42"/>
  <c r="Q11" i="42"/>
  <c r="S11" i="42"/>
  <c r="L135" i="42"/>
  <c r="O135" i="42"/>
  <c r="M135" i="42"/>
  <c r="K135" i="42"/>
  <c r="N135" i="42"/>
  <c r="J146" i="43"/>
  <c r="M136" i="43"/>
  <c r="L136" i="43"/>
  <c r="O136" i="43"/>
  <c r="N136" i="43"/>
  <c r="N7" i="44"/>
  <c r="M7" i="44"/>
  <c r="L7" i="44"/>
  <c r="T7" i="45"/>
  <c r="S7" i="45"/>
  <c r="R7" i="45"/>
  <c r="Q7" i="45"/>
  <c r="P7" i="45"/>
  <c r="F11" i="45"/>
  <c r="C146" i="45"/>
  <c r="N12" i="41"/>
  <c r="M12" i="41"/>
  <c r="L12" i="41"/>
  <c r="F10" i="43"/>
  <c r="I140" i="43"/>
  <c r="H140" i="43"/>
  <c r="K140" i="43" s="1"/>
  <c r="G140" i="43"/>
  <c r="D146" i="45"/>
  <c r="J11" i="40"/>
  <c r="I11" i="40"/>
  <c r="H11" i="40"/>
  <c r="N8" i="42"/>
  <c r="L8" i="42"/>
  <c r="C16" i="43"/>
  <c r="J11" i="45"/>
  <c r="I11" i="45"/>
  <c r="H11" i="45"/>
  <c r="N15" i="45"/>
  <c r="M15" i="45"/>
  <c r="L15" i="45"/>
  <c r="E146" i="45"/>
  <c r="F6" i="43"/>
  <c r="E16" i="43"/>
  <c r="F16" i="43" s="1"/>
  <c r="F8" i="43"/>
  <c r="T11" i="44"/>
  <c r="S11" i="44"/>
  <c r="R11" i="44"/>
  <c r="Q11" i="44"/>
  <c r="P11" i="44"/>
  <c r="F15" i="44"/>
  <c r="F146" i="45"/>
  <c r="I136" i="45"/>
  <c r="H136" i="45"/>
  <c r="K136" i="45" s="1"/>
  <c r="G136" i="45"/>
  <c r="D10" i="47"/>
  <c r="I136" i="40"/>
  <c r="H136" i="40"/>
  <c r="G136" i="40"/>
  <c r="H138" i="40"/>
  <c r="I138" i="40"/>
  <c r="G138" i="40"/>
  <c r="N12" i="43"/>
  <c r="M12" i="43"/>
  <c r="L12" i="43"/>
  <c r="F12" i="45"/>
  <c r="C11" i="39"/>
  <c r="F11" i="41"/>
  <c r="N10" i="42"/>
  <c r="M10" i="42"/>
  <c r="L10" i="42"/>
  <c r="O138" i="42"/>
  <c r="M138" i="42"/>
  <c r="N138" i="42"/>
  <c r="L138" i="42"/>
  <c r="K138" i="42"/>
  <c r="I144" i="43"/>
  <c r="H144" i="43"/>
  <c r="K144" i="43" s="1"/>
  <c r="G144" i="43"/>
  <c r="N8" i="44"/>
  <c r="M8" i="44"/>
  <c r="L8" i="44"/>
  <c r="J15" i="44"/>
  <c r="I15" i="44"/>
  <c r="H15" i="44"/>
  <c r="I142" i="45"/>
  <c r="H142" i="45"/>
  <c r="G142" i="45"/>
  <c r="N11" i="40"/>
  <c r="M11" i="40"/>
  <c r="L11" i="40"/>
  <c r="S12" i="40"/>
  <c r="R12" i="40"/>
  <c r="Q12" i="40"/>
  <c r="P12" i="40"/>
  <c r="T12" i="40"/>
  <c r="J11" i="41"/>
  <c r="I11" i="41"/>
  <c r="H11" i="41"/>
  <c r="F12" i="42"/>
  <c r="L10" i="43"/>
  <c r="N10" i="43"/>
  <c r="M10" i="43"/>
  <c r="O144" i="43"/>
  <c r="M144" i="43"/>
  <c r="L144" i="43"/>
  <c r="N144" i="43"/>
  <c r="J12" i="45"/>
  <c r="I12" i="45"/>
  <c r="H12" i="45"/>
  <c r="T15" i="45"/>
  <c r="S15" i="45"/>
  <c r="R15" i="45"/>
  <c r="Q15" i="45"/>
  <c r="P15" i="45"/>
  <c r="O137" i="45"/>
  <c r="N137" i="45"/>
  <c r="M137" i="45"/>
  <c r="L137" i="45"/>
  <c r="E11" i="39"/>
  <c r="O138" i="40"/>
  <c r="N138" i="40"/>
  <c r="M138" i="40"/>
  <c r="L138" i="40"/>
  <c r="K138" i="40"/>
  <c r="K137" i="41"/>
  <c r="M137" i="41"/>
  <c r="L137" i="41"/>
  <c r="O137" i="41"/>
  <c r="N137" i="41"/>
  <c r="I136" i="42"/>
  <c r="H136" i="42"/>
  <c r="G136" i="42"/>
  <c r="D146" i="43"/>
  <c r="D16" i="44"/>
  <c r="N136" i="40"/>
  <c r="K136" i="40"/>
  <c r="O136" i="40"/>
  <c r="M136" i="40"/>
  <c r="L136" i="40"/>
  <c r="S10" i="42"/>
  <c r="P10" i="42"/>
  <c r="AA20" i="42"/>
  <c r="T10" i="42"/>
  <c r="R10" i="42"/>
  <c r="Q10" i="42"/>
  <c r="F6" i="44"/>
  <c r="E16" i="44"/>
  <c r="F16" i="44" s="1"/>
  <c r="M143" i="45"/>
  <c r="O143" i="45"/>
  <c r="N143" i="45"/>
  <c r="L143" i="45"/>
  <c r="T11" i="41"/>
  <c r="S11" i="41"/>
  <c r="R11" i="41"/>
  <c r="Q11" i="41"/>
  <c r="P11" i="41"/>
  <c r="I142" i="43"/>
  <c r="H142" i="43"/>
  <c r="K142" i="43" s="1"/>
  <c r="G142" i="43"/>
  <c r="O141" i="43"/>
  <c r="N141" i="43"/>
  <c r="L141" i="43"/>
  <c r="M141" i="43"/>
  <c r="I137" i="42"/>
  <c r="H137" i="42"/>
  <c r="G137" i="42"/>
  <c r="O145" i="45"/>
  <c r="N145" i="45"/>
  <c r="M145" i="45"/>
  <c r="L145" i="45"/>
  <c r="G138" i="43"/>
  <c r="I138" i="43"/>
  <c r="H138" i="43"/>
  <c r="K138" i="43" s="1"/>
  <c r="M6" i="44"/>
  <c r="L6" i="44"/>
  <c r="K16" i="44"/>
  <c r="N6" i="44"/>
  <c r="T8" i="44"/>
  <c r="S8" i="44"/>
  <c r="Q8" i="44"/>
  <c r="P8" i="44"/>
  <c r="R8" i="44"/>
  <c r="F13" i="44"/>
  <c r="J14" i="44"/>
  <c r="I14" i="44"/>
  <c r="H14" i="44"/>
  <c r="F9" i="45"/>
  <c r="J10" i="45"/>
  <c r="I10" i="45"/>
  <c r="H10" i="45"/>
  <c r="N12" i="45"/>
  <c r="M12" i="45"/>
  <c r="L12" i="45"/>
  <c r="T14" i="45"/>
  <c r="S14" i="45"/>
  <c r="R14" i="45"/>
  <c r="Q14" i="45"/>
  <c r="P14" i="45"/>
  <c r="O142" i="45"/>
  <c r="N142" i="45"/>
  <c r="M142" i="45"/>
  <c r="L142" i="45"/>
  <c r="D8" i="46"/>
  <c r="O139" i="45"/>
  <c r="N139" i="45"/>
  <c r="M139" i="45"/>
  <c r="L139" i="45"/>
  <c r="T7" i="44"/>
  <c r="S7" i="44"/>
  <c r="R7" i="44"/>
  <c r="Q7" i="44"/>
  <c r="P7" i="44"/>
  <c r="F12" i="44"/>
  <c r="J13" i="44"/>
  <c r="I13" i="44"/>
  <c r="H13" i="44"/>
  <c r="N15" i="44"/>
  <c r="M15" i="44"/>
  <c r="L15" i="44"/>
  <c r="F8" i="45"/>
  <c r="J9" i="45"/>
  <c r="I9" i="45"/>
  <c r="H9" i="45"/>
  <c r="N11" i="45"/>
  <c r="M11" i="45"/>
  <c r="L11" i="45"/>
  <c r="T13" i="45"/>
  <c r="S13" i="45"/>
  <c r="R13" i="45"/>
  <c r="Q13" i="45"/>
  <c r="P13" i="45"/>
  <c r="J146" i="45"/>
  <c r="O136" i="45"/>
  <c r="N136" i="45"/>
  <c r="M136" i="45"/>
  <c r="L136" i="45"/>
  <c r="C146" i="44"/>
  <c r="I141" i="45"/>
  <c r="H141" i="45"/>
  <c r="G141" i="45"/>
  <c r="D9" i="46"/>
  <c r="O134" i="42"/>
  <c r="N134" i="42"/>
  <c r="M134" i="42"/>
  <c r="L134" i="42"/>
  <c r="K134" i="42"/>
  <c r="T6" i="44"/>
  <c r="S6" i="44"/>
  <c r="R6" i="44"/>
  <c r="P6" i="44"/>
  <c r="O16" i="44"/>
  <c r="Q6" i="44"/>
  <c r="F11" i="44"/>
  <c r="J12" i="44"/>
  <c r="I12" i="44"/>
  <c r="H12" i="44"/>
  <c r="N14" i="44"/>
  <c r="M14" i="44"/>
  <c r="L14" i="44"/>
  <c r="C16" i="45"/>
  <c r="F7" i="45"/>
  <c r="J8" i="45"/>
  <c r="I8" i="45"/>
  <c r="H8" i="45"/>
  <c r="N10" i="45"/>
  <c r="M10" i="45"/>
  <c r="L10" i="45"/>
  <c r="T12" i="45"/>
  <c r="S12" i="45"/>
  <c r="R12" i="45"/>
  <c r="Q12" i="45"/>
  <c r="P12" i="45"/>
  <c r="E146" i="44"/>
  <c r="D16" i="45"/>
  <c r="D8" i="47"/>
  <c r="F10" i="44"/>
  <c r="J11" i="44"/>
  <c r="I11" i="44"/>
  <c r="H11" i="44"/>
  <c r="N13" i="44"/>
  <c r="M13" i="44"/>
  <c r="L13" i="44"/>
  <c r="T15" i="44"/>
  <c r="S15" i="44"/>
  <c r="R15" i="44"/>
  <c r="Q15" i="44"/>
  <c r="P15" i="44"/>
  <c r="F6" i="45"/>
  <c r="E16" i="45"/>
  <c r="F16" i="45" s="1"/>
  <c r="J7" i="45"/>
  <c r="I7" i="45"/>
  <c r="H7" i="45"/>
  <c r="N9" i="45"/>
  <c r="M9" i="45"/>
  <c r="L9" i="45"/>
  <c r="T11" i="45"/>
  <c r="S11" i="45"/>
  <c r="R11" i="45"/>
  <c r="Q11" i="45"/>
  <c r="P11" i="45"/>
  <c r="O144" i="45"/>
  <c r="N144" i="45"/>
  <c r="M144" i="45"/>
  <c r="L144" i="45"/>
  <c r="I137" i="43"/>
  <c r="H137" i="43"/>
  <c r="K137" i="43" s="1"/>
  <c r="G137" i="43"/>
  <c r="O141" i="45"/>
  <c r="N141" i="45"/>
  <c r="M141" i="45"/>
  <c r="L141" i="45"/>
  <c r="I135" i="41"/>
  <c r="H135" i="41"/>
  <c r="G135" i="41"/>
  <c r="F11" i="42"/>
  <c r="J12" i="42"/>
  <c r="I12" i="42"/>
  <c r="H12" i="42"/>
  <c r="F9" i="44"/>
  <c r="J10" i="44"/>
  <c r="I10" i="44"/>
  <c r="H10" i="44"/>
  <c r="N12" i="44"/>
  <c r="M12" i="44"/>
  <c r="L12" i="44"/>
  <c r="S14" i="44"/>
  <c r="R14" i="44"/>
  <c r="Q14" i="44"/>
  <c r="P14" i="44"/>
  <c r="T14" i="44"/>
  <c r="J6" i="45"/>
  <c r="I6" i="45"/>
  <c r="H6" i="45"/>
  <c r="G16" i="45"/>
  <c r="N8" i="45"/>
  <c r="M8" i="45"/>
  <c r="L8" i="45"/>
  <c r="S10" i="45"/>
  <c r="R10" i="45"/>
  <c r="Q10" i="45"/>
  <c r="P10" i="45"/>
  <c r="T10" i="45"/>
  <c r="F15" i="45"/>
  <c r="N138" i="45"/>
  <c r="M138" i="45"/>
  <c r="L138" i="45"/>
  <c r="O138" i="45"/>
  <c r="I137" i="40"/>
  <c r="H137" i="40"/>
  <c r="G137" i="40"/>
  <c r="N11" i="41"/>
  <c r="M11" i="41"/>
  <c r="L11" i="41"/>
  <c r="I11" i="42"/>
  <c r="H11" i="42"/>
  <c r="J11" i="42"/>
  <c r="L136" i="42"/>
  <c r="K136" i="42"/>
  <c r="M136" i="42"/>
  <c r="O136" i="42"/>
  <c r="N136" i="42"/>
  <c r="F8" i="44"/>
  <c r="I9" i="44"/>
  <c r="H9" i="44"/>
  <c r="J9" i="44"/>
  <c r="M11" i="44"/>
  <c r="L11" i="44"/>
  <c r="N11" i="44"/>
  <c r="Q13" i="44"/>
  <c r="P13" i="44"/>
  <c r="S13" i="44"/>
  <c r="T13" i="44"/>
  <c r="R13" i="44"/>
  <c r="M7" i="45"/>
  <c r="L7" i="45"/>
  <c r="N7" i="45"/>
  <c r="Q9" i="45"/>
  <c r="P9" i="45"/>
  <c r="T9" i="45"/>
  <c r="S9" i="45"/>
  <c r="R9" i="45"/>
  <c r="F14" i="45"/>
  <c r="I15" i="45"/>
  <c r="H15" i="45"/>
  <c r="J15" i="45"/>
  <c r="P12" i="41"/>
  <c r="T12" i="41"/>
  <c r="S12" i="41"/>
  <c r="Q12" i="41"/>
  <c r="R12" i="41"/>
  <c r="K138" i="41"/>
  <c r="O138" i="41"/>
  <c r="N138" i="41"/>
  <c r="M138" i="41"/>
  <c r="L138" i="41"/>
  <c r="K135" i="41"/>
  <c r="N135" i="41"/>
  <c r="M135" i="41"/>
  <c r="L135" i="41"/>
  <c r="O135" i="41"/>
  <c r="M12" i="42"/>
  <c r="L12" i="42"/>
  <c r="N12" i="42"/>
  <c r="I138" i="42"/>
  <c r="G138" i="42"/>
  <c r="H138" i="42"/>
  <c r="C16" i="44"/>
  <c r="F7" i="44"/>
  <c r="J8" i="44"/>
  <c r="I8" i="44"/>
  <c r="H8" i="44"/>
  <c r="N10" i="44"/>
  <c r="M10" i="44"/>
  <c r="L10" i="44"/>
  <c r="Q12" i="44"/>
  <c r="P12" i="44"/>
  <c r="T12" i="44"/>
  <c r="S12" i="44"/>
  <c r="R12" i="44"/>
  <c r="K16" i="45"/>
  <c r="N6" i="45"/>
  <c r="M6" i="45"/>
  <c r="L6" i="45"/>
  <c r="T8" i="45"/>
  <c r="S8" i="45"/>
  <c r="R8" i="45"/>
  <c r="Q8" i="45"/>
  <c r="P8" i="45"/>
  <c r="F13" i="45"/>
  <c r="J14" i="45"/>
  <c r="H14" i="45"/>
  <c r="I14" i="45"/>
  <c r="J6" i="6"/>
  <c r="H20" i="10"/>
  <c r="H15" i="10"/>
  <c r="H13" i="10"/>
  <c r="H11" i="10"/>
  <c r="H9" i="10"/>
  <c r="H17" i="10"/>
  <c r="H19" i="10"/>
  <c r="H16" i="10"/>
  <c r="H8" i="10"/>
  <c r="H12" i="10"/>
  <c r="E7" i="10"/>
  <c r="H14" i="10"/>
  <c r="H18" i="10"/>
  <c r="H10" i="10"/>
  <c r="H21" i="10"/>
  <c r="B11" i="11"/>
  <c r="D10" i="11"/>
  <c r="J52" i="10"/>
  <c r="G51" i="10"/>
  <c r="J152" i="3"/>
  <c r="K152" i="3"/>
  <c r="L6" i="2"/>
  <c r="I6" i="6"/>
  <c r="J79" i="3"/>
  <c r="S6" i="5"/>
  <c r="K79" i="3"/>
  <c r="T6" i="5"/>
  <c r="V6" i="5"/>
  <c r="W6" i="5"/>
  <c r="J59" i="10"/>
  <c r="J57" i="10"/>
  <c r="J55" i="10"/>
  <c r="J53" i="10"/>
  <c r="J61" i="10"/>
  <c r="J84" i="10"/>
  <c r="J40" i="10"/>
  <c r="G29" i="10"/>
  <c r="J63" i="10"/>
  <c r="J86" i="10"/>
  <c r="J81" i="10"/>
  <c r="J79" i="10"/>
  <c r="J77" i="10"/>
  <c r="J75" i="10"/>
  <c r="J42" i="10"/>
  <c r="J65" i="10"/>
  <c r="J60" i="10"/>
  <c r="J58" i="10"/>
  <c r="J56" i="10"/>
  <c r="J54" i="10"/>
  <c r="J83" i="10"/>
  <c r="J36" i="10"/>
  <c r="J32" i="10"/>
  <c r="J35" i="10"/>
  <c r="J31" i="10"/>
  <c r="J87" i="10"/>
  <c r="J80" i="10"/>
  <c r="J39" i="10"/>
  <c r="J85" i="10"/>
  <c r="J78" i="10"/>
  <c r="J43" i="10"/>
  <c r="J38" i="10"/>
  <c r="J34" i="10"/>
  <c r="J30" i="10"/>
  <c r="J37" i="10"/>
  <c r="J33" i="10"/>
  <c r="J64" i="10"/>
  <c r="J82" i="10"/>
  <c r="J76" i="10"/>
  <c r="J62" i="10"/>
  <c r="J41" i="10"/>
  <c r="J6" i="3"/>
  <c r="L256" i="8"/>
  <c r="L254" i="8"/>
  <c r="L252" i="8"/>
  <c r="K183" i="8"/>
  <c r="L184" i="8" s="1"/>
  <c r="K249" i="8"/>
  <c r="L250" i="8" s="1"/>
  <c r="L212" i="8"/>
  <c r="L210" i="8"/>
  <c r="L208" i="8"/>
  <c r="L191" i="8"/>
  <c r="L189" i="8"/>
  <c r="L187" i="8"/>
  <c r="L185" i="8"/>
  <c r="L279" i="8"/>
  <c r="L276" i="8"/>
  <c r="K73" i="8"/>
  <c r="L207" i="8"/>
  <c r="L146" i="8"/>
  <c r="L144" i="8"/>
  <c r="L142" i="8"/>
  <c r="L251" i="8"/>
  <c r="L168" i="8"/>
  <c r="K29" i="8"/>
  <c r="L30" i="8" s="1"/>
  <c r="L229" i="8"/>
  <c r="L190" i="8"/>
  <c r="L125" i="8"/>
  <c r="L123" i="8"/>
  <c r="L121" i="8"/>
  <c r="L119" i="8"/>
  <c r="L234" i="8"/>
  <c r="L163" i="8"/>
  <c r="L278" i="8"/>
  <c r="L273" i="8"/>
  <c r="K139" i="8"/>
  <c r="L140" i="8" s="1"/>
  <c r="L102" i="8"/>
  <c r="L100" i="8"/>
  <c r="L98" i="8"/>
  <c r="L209" i="8"/>
  <c r="L253" i="8"/>
  <c r="L231" i="8"/>
  <c r="L165" i="8"/>
  <c r="L8" i="8"/>
  <c r="K95" i="8"/>
  <c r="L96" i="8" s="1"/>
  <c r="L275" i="8"/>
  <c r="K205" i="8"/>
  <c r="L206" i="8" s="1"/>
  <c r="L211" i="8"/>
  <c r="L147" i="8"/>
  <c r="L145" i="8"/>
  <c r="L143" i="8"/>
  <c r="L141" i="8"/>
  <c r="K51" i="8"/>
  <c r="L255" i="8"/>
  <c r="L167" i="8"/>
  <c r="K271" i="8"/>
  <c r="L272" i="8" s="1"/>
  <c r="L230" i="8"/>
  <c r="L164" i="8"/>
  <c r="I7" i="8"/>
  <c r="L277" i="8"/>
  <c r="L274" i="8"/>
  <c r="K161" i="8"/>
  <c r="L162" i="8" s="1"/>
  <c r="L103" i="8"/>
  <c r="L101" i="8"/>
  <c r="L99" i="8"/>
  <c r="L97" i="8"/>
  <c r="L257" i="8"/>
  <c r="L169" i="8"/>
  <c r="K117" i="8"/>
  <c r="L118" i="8" s="1"/>
  <c r="L235" i="8"/>
  <c r="L188" i="8"/>
  <c r="L166" i="8"/>
  <c r="L232" i="8"/>
  <c r="K6" i="3"/>
  <c r="L58" i="2"/>
  <c r="L6" i="3"/>
  <c r="I6" i="5"/>
  <c r="C55" i="12"/>
  <c r="B33" i="11"/>
  <c r="D32" i="11"/>
  <c r="B79" i="11"/>
  <c r="D78" i="11"/>
  <c r="D31" i="11"/>
  <c r="C56" i="12"/>
  <c r="R20" i="13"/>
  <c r="V6" i="13"/>
  <c r="S20" i="13"/>
  <c r="H87" i="10"/>
  <c r="E73" i="10"/>
  <c r="H84" i="10"/>
  <c r="H86" i="10"/>
  <c r="H81" i="10"/>
  <c r="H79" i="10"/>
  <c r="H77" i="10"/>
  <c r="H75" i="10"/>
  <c r="J20" i="10"/>
  <c r="J15" i="10"/>
  <c r="J13" i="10"/>
  <c r="J11" i="10"/>
  <c r="J9" i="10"/>
  <c r="J17" i="10"/>
  <c r="J19" i="10"/>
  <c r="J8" i="10"/>
  <c r="L15" i="10"/>
  <c r="L13" i="10"/>
  <c r="L11" i="10"/>
  <c r="L9" i="10"/>
  <c r="L14" i="10"/>
  <c r="L12" i="10"/>
  <c r="L10" i="10"/>
  <c r="H74" i="10"/>
  <c r="H80" i="10"/>
  <c r="J74" i="10"/>
  <c r="D9" i="11"/>
  <c r="B55" i="11"/>
  <c r="D54" i="11"/>
  <c r="L52" i="10"/>
  <c r="L74" i="10"/>
  <c r="C53" i="12"/>
  <c r="D53" i="12"/>
  <c r="D57" i="12" s="1"/>
  <c r="L8" i="10"/>
  <c r="J12" i="10"/>
  <c r="C54" i="12"/>
  <c r="E53" i="12"/>
  <c r="E54" i="12"/>
  <c r="E55" i="12"/>
  <c r="E56" i="12"/>
  <c r="F53" i="12"/>
  <c r="F57" i="12" s="1"/>
  <c r="F54" i="12"/>
  <c r="F55" i="12"/>
  <c r="F56" i="12"/>
  <c r="G53" i="12"/>
  <c r="G54" i="12"/>
  <c r="G55" i="12"/>
  <c r="G56" i="12"/>
  <c r="A11" i="12"/>
  <c r="J5" i="12"/>
  <c r="A15" i="12"/>
  <c r="K5" i="12"/>
  <c r="L5" i="12"/>
  <c r="D77" i="11"/>
  <c r="U53" i="12"/>
  <c r="F90" i="13"/>
  <c r="F104" i="13"/>
  <c r="F118" i="13"/>
  <c r="F20" i="13"/>
  <c r="F132" i="13"/>
  <c r="F146" i="13"/>
  <c r="F76" i="13"/>
  <c r="U48" i="12"/>
  <c r="G90" i="13"/>
  <c r="G118" i="13"/>
  <c r="G20" i="13"/>
  <c r="G132" i="13"/>
  <c r="G146" i="13"/>
  <c r="G160" i="13"/>
  <c r="G76" i="13"/>
  <c r="C107" i="14"/>
  <c r="C163" i="14"/>
  <c r="C93" i="14"/>
  <c r="C149" i="14"/>
  <c r="C23" i="14"/>
  <c r="C65" i="14"/>
  <c r="C121" i="14"/>
  <c r="C79" i="14"/>
  <c r="C51" i="14"/>
  <c r="C37" i="14"/>
  <c r="C135" i="14"/>
  <c r="U6" i="12"/>
  <c r="U7" i="12"/>
  <c r="U8" i="12"/>
  <c r="U9" i="12"/>
  <c r="U10" i="12"/>
  <c r="F160" i="13"/>
  <c r="U11" i="12"/>
  <c r="U47" i="12"/>
  <c r="I6" i="13"/>
  <c r="U12" i="12"/>
  <c r="U13" i="12"/>
  <c r="U14" i="12"/>
  <c r="U46" i="12"/>
  <c r="J6" i="13"/>
  <c r="F48" i="13"/>
  <c r="S5" i="12"/>
  <c r="U15" i="12"/>
  <c r="U16" i="12"/>
  <c r="U17" i="12"/>
  <c r="U18" i="12"/>
  <c r="U19" i="12"/>
  <c r="U20" i="12"/>
  <c r="U21" i="12"/>
  <c r="U22" i="12"/>
  <c r="U23" i="12"/>
  <c r="U24" i="12"/>
  <c r="U25" i="12"/>
  <c r="U26" i="12"/>
  <c r="U27" i="12"/>
  <c r="U28" i="12"/>
  <c r="U29" i="12"/>
  <c r="U30" i="12"/>
  <c r="U31" i="12"/>
  <c r="U32" i="12"/>
  <c r="U33" i="12"/>
  <c r="U34" i="12"/>
  <c r="U35" i="12"/>
  <c r="U36" i="12"/>
  <c r="U37" i="12"/>
  <c r="U38" i="12"/>
  <c r="U39" i="12"/>
  <c r="U40" i="12"/>
  <c r="U41" i="12"/>
  <c r="U42" i="12"/>
  <c r="U43" i="12"/>
  <c r="U44" i="12"/>
  <c r="U45" i="12"/>
  <c r="K6" i="13"/>
  <c r="F34" i="13"/>
  <c r="G48" i="13"/>
  <c r="U55" i="12"/>
  <c r="O20" i="13"/>
  <c r="G34" i="13"/>
  <c r="P20" i="13"/>
  <c r="V5" i="12"/>
  <c r="Q20" i="13"/>
  <c r="D146" i="13"/>
  <c r="E146" i="13"/>
  <c r="D119" i="15"/>
  <c r="D105" i="15"/>
  <c r="D49" i="15"/>
  <c r="D63" i="15"/>
  <c r="D35" i="15"/>
  <c r="D133" i="15"/>
  <c r="D91" i="15"/>
  <c r="D21" i="15"/>
  <c r="D161" i="15"/>
  <c r="D77" i="15"/>
  <c r="D132" i="13"/>
  <c r="N23" i="14"/>
  <c r="E34" i="13"/>
  <c r="C118" i="13"/>
  <c r="I9" i="14"/>
  <c r="D118" i="13"/>
  <c r="M7" i="15"/>
  <c r="L7" i="15"/>
  <c r="K7" i="15"/>
  <c r="J7" i="15"/>
  <c r="I7" i="15"/>
  <c r="E118" i="13"/>
  <c r="D147" i="15"/>
  <c r="C104" i="13"/>
  <c r="U6" i="13"/>
  <c r="D104" i="13"/>
  <c r="F133" i="16"/>
  <c r="F161" i="16"/>
  <c r="F79" i="16"/>
  <c r="F121" i="16"/>
  <c r="F149" i="16"/>
  <c r="F93" i="16"/>
  <c r="F119" i="16"/>
  <c r="F107" i="16"/>
  <c r="F63" i="16"/>
  <c r="F147" i="16"/>
  <c r="F135" i="16"/>
  <c r="F65" i="16"/>
  <c r="F21" i="16"/>
  <c r="F9" i="16"/>
  <c r="F77" i="16"/>
  <c r="F91" i="16"/>
  <c r="F49" i="16"/>
  <c r="F37" i="16"/>
  <c r="F23" i="16"/>
  <c r="E104" i="13"/>
  <c r="G133" i="16"/>
  <c r="G161" i="16"/>
  <c r="G21" i="16"/>
  <c r="G79" i="16"/>
  <c r="G35" i="16"/>
  <c r="G121" i="16"/>
  <c r="G149" i="16"/>
  <c r="G93" i="16"/>
  <c r="G119" i="16"/>
  <c r="G49" i="16"/>
  <c r="G107" i="16"/>
  <c r="G147" i="16"/>
  <c r="G135" i="16"/>
  <c r="G77" i="16"/>
  <c r="G65" i="16"/>
  <c r="G63" i="16"/>
  <c r="G9" i="16"/>
  <c r="G91" i="16"/>
  <c r="G37" i="16"/>
  <c r="G23" i="16"/>
  <c r="G105" i="16"/>
  <c r="C90" i="13"/>
  <c r="E90" i="13"/>
  <c r="W7" i="15"/>
  <c r="C76" i="13"/>
  <c r="X7" i="15"/>
  <c r="D76" i="13"/>
  <c r="Y7" i="15"/>
  <c r="E76" i="13"/>
  <c r="E37" i="16"/>
  <c r="D49" i="16"/>
  <c r="E91" i="16"/>
  <c r="C147" i="16"/>
  <c r="C105" i="16"/>
  <c r="C133" i="16"/>
  <c r="C65" i="16"/>
  <c r="C21" i="16"/>
  <c r="C79" i="16"/>
  <c r="C161" i="16"/>
  <c r="C121" i="16"/>
  <c r="C149" i="16"/>
  <c r="C119" i="16"/>
  <c r="C93" i="16"/>
  <c r="C135" i="16"/>
  <c r="D119" i="16"/>
  <c r="D147" i="16"/>
  <c r="D105" i="16"/>
  <c r="D133" i="16"/>
  <c r="D65" i="16"/>
  <c r="D79" i="16"/>
  <c r="D35" i="16"/>
  <c r="D161" i="16"/>
  <c r="D121" i="16"/>
  <c r="D149" i="16"/>
  <c r="D93" i="16"/>
  <c r="D107" i="16"/>
  <c r="D135" i="16"/>
  <c r="E120" i="18"/>
  <c r="E134" i="18"/>
  <c r="E148" i="18"/>
  <c r="E146" i="18"/>
  <c r="E48" i="18"/>
  <c r="E62" i="18"/>
  <c r="E76" i="18"/>
  <c r="E132" i="18"/>
  <c r="E90" i="18"/>
  <c r="E104" i="18"/>
  <c r="E118" i="18"/>
  <c r="E50" i="18"/>
  <c r="E64" i="18"/>
  <c r="E78" i="18"/>
  <c r="E106" i="18"/>
  <c r="E34" i="18"/>
  <c r="E8" i="18"/>
  <c r="E92" i="18"/>
  <c r="E20" i="18"/>
  <c r="E160" i="18"/>
  <c r="E36" i="18"/>
  <c r="E22" i="18"/>
  <c r="E133" i="16"/>
  <c r="E105" i="16"/>
  <c r="E65" i="16"/>
  <c r="E21" i="16"/>
  <c r="E79" i="16"/>
  <c r="E35" i="16"/>
  <c r="E161" i="16"/>
  <c r="E121" i="16"/>
  <c r="E149" i="16"/>
  <c r="E93" i="16"/>
  <c r="E119" i="16"/>
  <c r="E49" i="16"/>
  <c r="E107" i="16"/>
  <c r="K7" i="16"/>
  <c r="C133" i="15"/>
  <c r="C119" i="15"/>
  <c r="E161" i="15"/>
  <c r="I7" i="16"/>
  <c r="R9" i="17"/>
  <c r="F161" i="15"/>
  <c r="J7" i="16"/>
  <c r="C107" i="16"/>
  <c r="S21" i="17"/>
  <c r="S9" i="17"/>
  <c r="E133" i="15"/>
  <c r="G161" i="15"/>
  <c r="C77" i="16"/>
  <c r="W7" i="17"/>
  <c r="V7" i="17"/>
  <c r="U7" i="17"/>
  <c r="F119" i="15"/>
  <c r="F105" i="15"/>
  <c r="E21" i="15"/>
  <c r="C91" i="15"/>
  <c r="D77" i="16"/>
  <c r="O9" i="17"/>
  <c r="O21" i="17"/>
  <c r="G105" i="15"/>
  <c r="G91" i="15"/>
  <c r="F21" i="15"/>
  <c r="C9" i="16"/>
  <c r="E77" i="16"/>
  <c r="C35" i="15"/>
  <c r="E91" i="15"/>
  <c r="F133" i="15"/>
  <c r="D9" i="16"/>
  <c r="F91" i="15"/>
  <c r="G133" i="15"/>
  <c r="E9" i="16"/>
  <c r="D21" i="16"/>
  <c r="C63" i="16"/>
  <c r="E35" i="15"/>
  <c r="C63" i="15"/>
  <c r="U7" i="16"/>
  <c r="D63" i="16"/>
  <c r="C49" i="15"/>
  <c r="C51" i="16"/>
  <c r="E63" i="16"/>
  <c r="G35" i="15"/>
  <c r="E63" i="15"/>
  <c r="W7" i="16"/>
  <c r="D51" i="16"/>
  <c r="E49" i="15"/>
  <c r="F63" i="15"/>
  <c r="C147" i="15"/>
  <c r="Q9" i="16"/>
  <c r="C23" i="16"/>
  <c r="C35" i="16"/>
  <c r="E51" i="16"/>
  <c r="E65" i="17"/>
  <c r="E105" i="17"/>
  <c r="N132" i="18"/>
  <c r="N146" i="18"/>
  <c r="N160" i="18"/>
  <c r="N36" i="18"/>
  <c r="N50" i="18"/>
  <c r="N64" i="18"/>
  <c r="N78" i="18"/>
  <c r="N92" i="18"/>
  <c r="N106" i="18"/>
  <c r="N148" i="18"/>
  <c r="N120" i="18"/>
  <c r="N90" i="18"/>
  <c r="N134" i="18"/>
  <c r="N20" i="18"/>
  <c r="N8" i="18"/>
  <c r="N104" i="18"/>
  <c r="N62" i="18"/>
  <c r="N76" i="18"/>
  <c r="N22" i="18"/>
  <c r="N34" i="18"/>
  <c r="E35" i="17"/>
  <c r="E119" i="17"/>
  <c r="F35" i="17"/>
  <c r="G93" i="17"/>
  <c r="F119" i="17"/>
  <c r="R6" i="18"/>
  <c r="Q6" i="18"/>
  <c r="E149" i="17"/>
  <c r="E93" i="17"/>
  <c r="E49" i="17"/>
  <c r="E147" i="17"/>
  <c r="E107" i="17"/>
  <c r="E63" i="17"/>
  <c r="E23" i="17"/>
  <c r="E37" i="17"/>
  <c r="E135" i="17"/>
  <c r="E91" i="17"/>
  <c r="E21" i="17"/>
  <c r="E133" i="17"/>
  <c r="S148" i="18"/>
  <c r="S106" i="18"/>
  <c r="S120" i="18"/>
  <c r="S48" i="18"/>
  <c r="S76" i="18"/>
  <c r="S90" i="18"/>
  <c r="S104" i="18"/>
  <c r="S118" i="18"/>
  <c r="S146" i="18"/>
  <c r="S134" i="18"/>
  <c r="S50" i="18"/>
  <c r="S78" i="18"/>
  <c r="S64" i="18"/>
  <c r="S22" i="18"/>
  <c r="S132" i="18"/>
  <c r="S92" i="18"/>
  <c r="S36" i="18"/>
  <c r="S160" i="18"/>
  <c r="S34" i="18"/>
  <c r="S9" i="16"/>
  <c r="F149" i="17"/>
  <c r="F49" i="17"/>
  <c r="F147" i="17"/>
  <c r="F107" i="17"/>
  <c r="F63" i="17"/>
  <c r="F23" i="17"/>
  <c r="F121" i="17"/>
  <c r="F135" i="17"/>
  <c r="F91" i="17"/>
  <c r="F9" i="17"/>
  <c r="F21" i="17"/>
  <c r="F133" i="17"/>
  <c r="E161" i="17"/>
  <c r="T120" i="18"/>
  <c r="T20" i="18"/>
  <c r="T148" i="18"/>
  <c r="T62" i="18"/>
  <c r="T90" i="18"/>
  <c r="T104" i="18"/>
  <c r="T118" i="18"/>
  <c r="T106" i="18"/>
  <c r="T50" i="18"/>
  <c r="T78" i="18"/>
  <c r="T64" i="18"/>
  <c r="T22" i="18"/>
  <c r="T132" i="18"/>
  <c r="T92" i="18"/>
  <c r="T36" i="18"/>
  <c r="T146" i="18"/>
  <c r="T76" i="18"/>
  <c r="T160" i="18"/>
  <c r="T34" i="18"/>
  <c r="T48" i="18"/>
  <c r="G149" i="17"/>
  <c r="G147" i="17"/>
  <c r="G107" i="17"/>
  <c r="G63" i="17"/>
  <c r="G23" i="17"/>
  <c r="I7" i="17"/>
  <c r="G121" i="17"/>
  <c r="G77" i="17"/>
  <c r="G91" i="17"/>
  <c r="G9" i="17"/>
  <c r="G51" i="17"/>
  <c r="G21" i="17"/>
  <c r="G133" i="17"/>
  <c r="F161" i="17"/>
  <c r="G161" i="17"/>
  <c r="E51" i="17"/>
  <c r="P9" i="17"/>
  <c r="P21" i="17"/>
  <c r="F51" i="17"/>
  <c r="E77" i="17"/>
  <c r="Q9" i="17"/>
  <c r="Q21" i="17"/>
  <c r="N118" i="18"/>
  <c r="F36" i="18"/>
  <c r="U120" i="18"/>
  <c r="U148" i="18"/>
  <c r="U34" i="18"/>
  <c r="U76" i="18"/>
  <c r="U104" i="18"/>
  <c r="U118" i="18"/>
  <c r="U146" i="18"/>
  <c r="U134" i="18"/>
  <c r="U160" i="18"/>
  <c r="U132" i="18"/>
  <c r="U8" i="18"/>
  <c r="V120" i="18"/>
  <c r="V134" i="18"/>
  <c r="V148" i="18"/>
  <c r="V20" i="18"/>
  <c r="V48" i="18"/>
  <c r="V62" i="18"/>
  <c r="V90" i="18"/>
  <c r="V118" i="18"/>
  <c r="V146" i="18"/>
  <c r="V8" i="18"/>
  <c r="U48" i="18"/>
  <c r="F50" i="18"/>
  <c r="D64" i="18"/>
  <c r="K76" i="18"/>
  <c r="D135" i="17"/>
  <c r="X6" i="18"/>
  <c r="G50" i="18"/>
  <c r="G64" i="18"/>
  <c r="L76" i="18"/>
  <c r="D37" i="17"/>
  <c r="C77" i="17"/>
  <c r="C120" i="18"/>
  <c r="C134" i="18"/>
  <c r="C148" i="18"/>
  <c r="C20" i="18"/>
  <c r="C160" i="18"/>
  <c r="C34" i="18"/>
  <c r="C146" i="18"/>
  <c r="C48" i="18"/>
  <c r="C62" i="18"/>
  <c r="C76" i="18"/>
  <c r="C132" i="18"/>
  <c r="C104" i="18"/>
  <c r="C78" i="18"/>
  <c r="Y6" i="18"/>
  <c r="M76" i="18"/>
  <c r="K132" i="18"/>
  <c r="F160" i="18"/>
  <c r="D149" i="17"/>
  <c r="D77" i="17"/>
  <c r="C121" i="17"/>
  <c r="D120" i="18"/>
  <c r="D134" i="18"/>
  <c r="D148" i="18"/>
  <c r="D160" i="18"/>
  <c r="D34" i="18"/>
  <c r="D146" i="18"/>
  <c r="D48" i="18"/>
  <c r="D62" i="18"/>
  <c r="D76" i="18"/>
  <c r="D132" i="18"/>
  <c r="D90" i="18"/>
  <c r="D104" i="18"/>
  <c r="D118" i="18"/>
  <c r="D92" i="18"/>
  <c r="C8" i="18"/>
  <c r="F20" i="18"/>
  <c r="G62" i="18"/>
  <c r="K64" i="18"/>
  <c r="K92" i="18"/>
  <c r="L146" i="18"/>
  <c r="V34" i="18"/>
  <c r="M92" i="18"/>
  <c r="F134" i="18"/>
  <c r="F148" i="18"/>
  <c r="F132" i="18"/>
  <c r="F146" i="18"/>
  <c r="F62" i="18"/>
  <c r="F76" i="18"/>
  <c r="F90" i="18"/>
  <c r="F104" i="18"/>
  <c r="F118" i="18"/>
  <c r="F64" i="18"/>
  <c r="F78" i="18"/>
  <c r="F92" i="18"/>
  <c r="F120" i="18"/>
  <c r="V160" i="18"/>
  <c r="D63" i="17"/>
  <c r="C107" i="17"/>
  <c r="G148" i="18"/>
  <c r="G132" i="18"/>
  <c r="G146" i="18"/>
  <c r="G160" i="18"/>
  <c r="G76" i="18"/>
  <c r="G90" i="18"/>
  <c r="G104" i="18"/>
  <c r="G134" i="18"/>
  <c r="G118" i="18"/>
  <c r="G22" i="18"/>
  <c r="G78" i="18"/>
  <c r="G92" i="18"/>
  <c r="G106" i="18"/>
  <c r="F8" i="18"/>
  <c r="F48" i="18"/>
  <c r="V76" i="18"/>
  <c r="C106" i="18"/>
  <c r="G120" i="18"/>
  <c r="D107" i="17"/>
  <c r="C147" i="17"/>
  <c r="G8" i="18"/>
  <c r="U36" i="18"/>
  <c r="G48" i="18"/>
  <c r="K62" i="18"/>
  <c r="U92" i="18"/>
  <c r="K104" i="18"/>
  <c r="D106" i="18"/>
  <c r="M120" i="18"/>
  <c r="V132" i="18"/>
  <c r="N161" i="19"/>
  <c r="N149" i="19"/>
  <c r="N121" i="19"/>
  <c r="N119" i="19"/>
  <c r="N93" i="19"/>
  <c r="N91" i="19"/>
  <c r="N133" i="19"/>
  <c r="N147" i="19"/>
  <c r="N105" i="19"/>
  <c r="N63" i="19"/>
  <c r="N49" i="19"/>
  <c r="N35" i="19"/>
  <c r="N79" i="19"/>
  <c r="N51" i="19"/>
  <c r="N9" i="19"/>
  <c r="N107" i="19"/>
  <c r="N37" i="19"/>
  <c r="N77" i="19"/>
  <c r="N65" i="19"/>
  <c r="N135" i="19"/>
  <c r="N21" i="19"/>
  <c r="P7" i="19"/>
  <c r="N23" i="19"/>
  <c r="M7" i="19"/>
  <c r="C49" i="17"/>
  <c r="D147" i="17"/>
  <c r="I6" i="18"/>
  <c r="K20" i="18"/>
  <c r="U22" i="18"/>
  <c r="V36" i="18"/>
  <c r="L62" i="18"/>
  <c r="U64" i="18"/>
  <c r="U78" i="18"/>
  <c r="C90" i="18"/>
  <c r="V92" i="18"/>
  <c r="L104" i="18"/>
  <c r="F106" i="18"/>
  <c r="J7" i="17"/>
  <c r="D49" i="17"/>
  <c r="C93" i="17"/>
  <c r="L20" i="18"/>
  <c r="V22" i="18"/>
  <c r="U50" i="18"/>
  <c r="M62" i="18"/>
  <c r="V64" i="18"/>
  <c r="V78" i="18"/>
  <c r="M104" i="18"/>
  <c r="D93" i="17"/>
  <c r="C133" i="17"/>
  <c r="K8" i="18"/>
  <c r="K36" i="18"/>
  <c r="K50" i="18"/>
  <c r="K78" i="18"/>
  <c r="K106" i="18"/>
  <c r="K148" i="18"/>
  <c r="K120" i="18"/>
  <c r="K160" i="18"/>
  <c r="K146" i="18"/>
  <c r="M8" i="18"/>
  <c r="M20" i="18"/>
  <c r="F34" i="18"/>
  <c r="V50" i="18"/>
  <c r="C118" i="18"/>
  <c r="C35" i="17"/>
  <c r="D133" i="17"/>
  <c r="C149" i="17"/>
  <c r="L132" i="18"/>
  <c r="L160" i="18"/>
  <c r="L8" i="18"/>
  <c r="L22" i="18"/>
  <c r="L50" i="18"/>
  <c r="L64" i="18"/>
  <c r="L92" i="18"/>
  <c r="L148" i="18"/>
  <c r="L120" i="18"/>
  <c r="G34" i="18"/>
  <c r="K48" i="18"/>
  <c r="K90" i="18"/>
  <c r="U106" i="18"/>
  <c r="K118" i="18"/>
  <c r="K134" i="18"/>
  <c r="M132" i="18"/>
  <c r="M146" i="18"/>
  <c r="M160" i="18"/>
  <c r="M22" i="18"/>
  <c r="M36" i="18"/>
  <c r="M50" i="18"/>
  <c r="M64" i="18"/>
  <c r="M78" i="18"/>
  <c r="M106" i="18"/>
  <c r="M148" i="18"/>
  <c r="M134" i="18"/>
  <c r="L90" i="18"/>
  <c r="V104" i="18"/>
  <c r="V106" i="18"/>
  <c r="L118" i="18"/>
  <c r="L134" i="18"/>
  <c r="M118" i="18"/>
  <c r="O104" i="18"/>
  <c r="R7" i="19"/>
  <c r="O120" i="18"/>
  <c r="O148" i="18"/>
  <c r="O106" i="18"/>
  <c r="O132" i="18"/>
  <c r="O146" i="18"/>
  <c r="O160" i="18"/>
  <c r="O134" i="18"/>
  <c r="O92" i="18"/>
  <c r="O78" i="18"/>
  <c r="O64" i="18"/>
  <c r="O50" i="18"/>
  <c r="C78" i="21"/>
  <c r="C50" i="21"/>
  <c r="C148" i="21"/>
  <c r="C120" i="21"/>
  <c r="C22" i="21"/>
  <c r="C92" i="21"/>
  <c r="C36" i="21"/>
  <c r="C106" i="21"/>
  <c r="C134" i="21"/>
  <c r="C64" i="21"/>
  <c r="V7" i="19"/>
  <c r="X7" i="19" s="1"/>
  <c r="F7" i="19"/>
  <c r="C162" i="21"/>
  <c r="H7" i="19"/>
  <c r="J7" i="19"/>
  <c r="D50" i="21"/>
  <c r="D148" i="21"/>
  <c r="D120" i="21"/>
  <c r="D22" i="21"/>
  <c r="D92" i="21"/>
  <c r="D64" i="21"/>
  <c r="D162" i="21"/>
  <c r="E50" i="21"/>
  <c r="E148" i="21"/>
  <c r="E120" i="21"/>
  <c r="E22" i="21"/>
  <c r="E92" i="21"/>
  <c r="E64" i="21"/>
  <c r="E162" i="21"/>
  <c r="F148" i="21"/>
  <c r="F120" i="21"/>
  <c r="F22" i="21"/>
  <c r="F92" i="21"/>
  <c r="F36" i="21"/>
  <c r="F162" i="21"/>
  <c r="F134" i="21"/>
  <c r="D134" i="21"/>
  <c r="H8" i="21"/>
  <c r="E134" i="21"/>
  <c r="I8" i="21"/>
  <c r="D106" i="21"/>
  <c r="L22" i="21"/>
  <c r="D36" i="21"/>
  <c r="E106" i="21"/>
  <c r="P21" i="22"/>
  <c r="E36" i="21"/>
  <c r="F106" i="21"/>
  <c r="Q21" i="22"/>
  <c r="R21" i="22"/>
  <c r="Q8" i="21"/>
  <c r="N22" i="21"/>
  <c r="F50" i="21"/>
  <c r="S21" i="22"/>
  <c r="O22" i="21"/>
  <c r="X7" i="22"/>
  <c r="W7" i="22"/>
  <c r="V7" i="22"/>
  <c r="F105" i="22"/>
  <c r="C147" i="22"/>
  <c r="G105" i="22"/>
  <c r="D147" i="22"/>
  <c r="L81" i="24"/>
  <c r="L79" i="24"/>
  <c r="L77" i="24"/>
  <c r="L75" i="24"/>
  <c r="L80" i="24"/>
  <c r="L78" i="24"/>
  <c r="L76" i="24"/>
  <c r="F21" i="22"/>
  <c r="H105" i="22"/>
  <c r="C161" i="22"/>
  <c r="C133" i="22"/>
  <c r="C105" i="22"/>
  <c r="D161" i="22"/>
  <c r="D133" i="22"/>
  <c r="D105" i="22"/>
  <c r="E161" i="22"/>
  <c r="E133" i="22"/>
  <c r="E105" i="22"/>
  <c r="E77" i="22"/>
  <c r="E147" i="22"/>
  <c r="F147" i="22"/>
  <c r="R8" i="21"/>
  <c r="G147" i="22"/>
  <c r="C77" i="22"/>
  <c r="F266" i="24"/>
  <c r="J263" i="24"/>
  <c r="H261" i="24"/>
  <c r="H259" i="24"/>
  <c r="H257" i="24"/>
  <c r="H255" i="24"/>
  <c r="H263" i="24"/>
  <c r="F261" i="24"/>
  <c r="F259" i="24"/>
  <c r="F257" i="24"/>
  <c r="F255" i="24"/>
  <c r="J265" i="24"/>
  <c r="F263" i="24"/>
  <c r="H265" i="24"/>
  <c r="L260" i="24"/>
  <c r="L258" i="24"/>
  <c r="L256" i="24"/>
  <c r="J267" i="24"/>
  <c r="F265" i="24"/>
  <c r="J262" i="24"/>
  <c r="J260" i="24"/>
  <c r="J258" i="24"/>
  <c r="J256" i="24"/>
  <c r="H267" i="24"/>
  <c r="H262" i="24"/>
  <c r="H260" i="24"/>
  <c r="H258" i="24"/>
  <c r="H256" i="24"/>
  <c r="F264" i="24"/>
  <c r="L257" i="24"/>
  <c r="J257" i="24"/>
  <c r="F262" i="24"/>
  <c r="F256" i="24"/>
  <c r="L261" i="24"/>
  <c r="L255" i="24"/>
  <c r="J261" i="24"/>
  <c r="F267" i="24"/>
  <c r="J255" i="24"/>
  <c r="F260" i="24"/>
  <c r="J266" i="24"/>
  <c r="L259" i="24"/>
  <c r="H266" i="24"/>
  <c r="J259" i="24"/>
  <c r="H147" i="22"/>
  <c r="D77" i="22"/>
  <c r="F77" i="22"/>
  <c r="C91" i="22"/>
  <c r="J7" i="22"/>
  <c r="C35" i="22"/>
  <c r="G77" i="22"/>
  <c r="D91" i="22"/>
  <c r="I227" i="24"/>
  <c r="I183" i="24"/>
  <c r="I253" i="24"/>
  <c r="I139" i="24"/>
  <c r="I205" i="24"/>
  <c r="I95" i="24"/>
  <c r="I117" i="24"/>
  <c r="I51" i="24"/>
  <c r="I161" i="24"/>
  <c r="G7" i="24"/>
  <c r="J8" i="24" s="1"/>
  <c r="I73" i="24"/>
  <c r="K7" i="22"/>
  <c r="D35" i="22"/>
  <c r="H77" i="22"/>
  <c r="E91" i="22"/>
  <c r="C119" i="22"/>
  <c r="L7" i="22"/>
  <c r="E35" i="22"/>
  <c r="C63" i="22"/>
  <c r="F91" i="22"/>
  <c r="D119" i="22"/>
  <c r="L208" i="24"/>
  <c r="F214" i="24"/>
  <c r="J131" i="24"/>
  <c r="F129" i="24"/>
  <c r="J126" i="24"/>
  <c r="J124" i="24"/>
  <c r="J122" i="24"/>
  <c r="J120" i="24"/>
  <c r="H128" i="24"/>
  <c r="F120" i="24"/>
  <c r="F125" i="24"/>
  <c r="K227" i="24"/>
  <c r="K183" i="24"/>
  <c r="K253" i="24"/>
  <c r="K161" i="24"/>
  <c r="J218" i="24"/>
  <c r="F216" i="24"/>
  <c r="L213" i="24"/>
  <c r="L211" i="24"/>
  <c r="L209" i="24"/>
  <c r="L207" i="24"/>
  <c r="H218" i="24"/>
  <c r="J213" i="24"/>
  <c r="J211" i="24"/>
  <c r="J209" i="24"/>
  <c r="J207" i="24"/>
  <c r="F218" i="24"/>
  <c r="J215" i="24"/>
  <c r="H213" i="24"/>
  <c r="H211" i="24"/>
  <c r="H209" i="24"/>
  <c r="H207" i="24"/>
  <c r="H215" i="24"/>
  <c r="F213" i="24"/>
  <c r="F211" i="24"/>
  <c r="F209" i="24"/>
  <c r="F207" i="24"/>
  <c r="J217" i="24"/>
  <c r="F215" i="24"/>
  <c r="J214" i="24"/>
  <c r="I7" i="25"/>
  <c r="K51" i="25"/>
  <c r="K29" i="25"/>
  <c r="K73" i="25"/>
  <c r="H125" i="24"/>
  <c r="J128" i="24"/>
  <c r="F152" i="24"/>
  <c r="J149" i="24"/>
  <c r="H147" i="24"/>
  <c r="H145" i="24"/>
  <c r="H143" i="24"/>
  <c r="H141" i="24"/>
  <c r="H151" i="24"/>
  <c r="L146" i="24"/>
  <c r="L144" i="24"/>
  <c r="L142" i="24"/>
  <c r="F142" i="24"/>
  <c r="F145" i="24"/>
  <c r="F151" i="24"/>
  <c r="F210" i="24"/>
  <c r="K51" i="24"/>
  <c r="K117" i="24"/>
  <c r="F123" i="24"/>
  <c r="J125" i="24"/>
  <c r="H142" i="24"/>
  <c r="J145" i="24"/>
  <c r="F148" i="24"/>
  <c r="H210" i="24"/>
  <c r="H216" i="24"/>
  <c r="K95" i="24"/>
  <c r="H129" i="24"/>
  <c r="J210" i="24"/>
  <c r="L8" i="24"/>
  <c r="H123" i="24"/>
  <c r="L125" i="24"/>
  <c r="J142" i="24"/>
  <c r="L145" i="24"/>
  <c r="H148" i="24"/>
  <c r="H152" i="24"/>
  <c r="K205" i="24"/>
  <c r="L210" i="24"/>
  <c r="J216" i="24"/>
  <c r="L8" i="25"/>
  <c r="F121" i="24"/>
  <c r="J129" i="24"/>
  <c r="K139" i="24"/>
  <c r="J123" i="24"/>
  <c r="F126" i="24"/>
  <c r="F143" i="24"/>
  <c r="J148" i="24"/>
  <c r="J152" i="24"/>
  <c r="C20" i="26"/>
  <c r="C118" i="26"/>
  <c r="C132" i="26"/>
  <c r="C48" i="26"/>
  <c r="C146" i="26"/>
  <c r="C160" i="26"/>
  <c r="C90" i="26"/>
  <c r="F146" i="28"/>
  <c r="F104" i="28"/>
  <c r="F160" i="28"/>
  <c r="F20" i="28"/>
  <c r="F132" i="28"/>
  <c r="F34" i="28"/>
  <c r="F76" i="28"/>
  <c r="F62" i="28"/>
  <c r="F48" i="28"/>
  <c r="F90" i="28"/>
  <c r="F118" i="28"/>
  <c r="C34" i="26"/>
  <c r="F186" i="24"/>
  <c r="F188" i="24"/>
  <c r="F190" i="24"/>
  <c r="F192" i="24"/>
  <c r="J194" i="24"/>
  <c r="F197" i="24"/>
  <c r="L229" i="24"/>
  <c r="L231" i="24"/>
  <c r="L233" i="24"/>
  <c r="L235" i="24"/>
  <c r="F238" i="24"/>
  <c r="J240" i="24"/>
  <c r="E118" i="26"/>
  <c r="E34" i="26"/>
  <c r="E132" i="26"/>
  <c r="E48" i="26"/>
  <c r="E146" i="26"/>
  <c r="E62" i="26"/>
  <c r="E160" i="26"/>
  <c r="E90" i="26"/>
  <c r="C62" i="26"/>
  <c r="J163" i="24"/>
  <c r="J165" i="24"/>
  <c r="J167" i="24"/>
  <c r="J169" i="24"/>
  <c r="H174" i="24"/>
  <c r="H186" i="24"/>
  <c r="H188" i="24"/>
  <c r="H190" i="24"/>
  <c r="H192" i="24"/>
  <c r="H197" i="24"/>
  <c r="H238" i="24"/>
  <c r="J186" i="24"/>
  <c r="J188" i="24"/>
  <c r="J190" i="24"/>
  <c r="J192" i="24"/>
  <c r="F195" i="24"/>
  <c r="J197" i="24"/>
  <c r="F230" i="24"/>
  <c r="F232" i="24"/>
  <c r="F234" i="24"/>
  <c r="F236" i="24"/>
  <c r="J238" i="24"/>
  <c r="F241" i="24"/>
  <c r="C76" i="26"/>
  <c r="L188" i="24"/>
  <c r="L190" i="24"/>
  <c r="H195" i="24"/>
  <c r="H232" i="24"/>
  <c r="H234" i="24"/>
  <c r="H236" i="24"/>
  <c r="H241" i="24"/>
  <c r="E76" i="26"/>
  <c r="F164" i="24"/>
  <c r="F166" i="24"/>
  <c r="F168" i="24"/>
  <c r="F170" i="24"/>
  <c r="J172" i="24"/>
  <c r="F193" i="24"/>
  <c r="J230" i="24"/>
  <c r="J232" i="24"/>
  <c r="J234" i="24"/>
  <c r="J236" i="24"/>
  <c r="F239" i="24"/>
  <c r="E20" i="26"/>
  <c r="D132" i="28"/>
  <c r="D62" i="28"/>
  <c r="D146" i="28"/>
  <c r="D104" i="28"/>
  <c r="D34" i="28"/>
  <c r="D160" i="28"/>
  <c r="D118" i="28"/>
  <c r="D20" i="28"/>
  <c r="D76" i="28"/>
  <c r="D48" i="28"/>
  <c r="E146" i="28"/>
  <c r="E118" i="28"/>
  <c r="E104" i="28"/>
  <c r="E34" i="28"/>
  <c r="E160" i="28"/>
  <c r="E20" i="28"/>
  <c r="E132" i="28"/>
  <c r="E76" i="28"/>
  <c r="E62" i="28"/>
  <c r="E48" i="28"/>
  <c r="C146" i="27"/>
  <c r="D146" i="27"/>
  <c r="D160" i="26"/>
  <c r="C48" i="27"/>
  <c r="E146" i="27"/>
  <c r="C160" i="27"/>
  <c r="C90" i="27"/>
  <c r="C104" i="27"/>
  <c r="C118" i="27"/>
  <c r="D48" i="27"/>
  <c r="F146" i="27"/>
  <c r="D90" i="28"/>
  <c r="F160" i="26"/>
  <c r="D62" i="27"/>
  <c r="D160" i="27"/>
  <c r="D104" i="27"/>
  <c r="D118" i="27"/>
  <c r="E48" i="27"/>
  <c r="G146" i="27"/>
  <c r="E90" i="28"/>
  <c r="F62" i="26"/>
  <c r="D146" i="26"/>
  <c r="G160" i="26"/>
  <c r="E160" i="27"/>
  <c r="E90" i="27"/>
  <c r="E104" i="27"/>
  <c r="E118" i="27"/>
  <c r="C34" i="27"/>
  <c r="F48" i="27"/>
  <c r="C76" i="27"/>
  <c r="G62" i="26"/>
  <c r="F76" i="27"/>
  <c r="F90" i="27"/>
  <c r="F104" i="27"/>
  <c r="F118" i="27"/>
  <c r="F132" i="27"/>
  <c r="D34" i="27"/>
  <c r="G48" i="27"/>
  <c r="D76" i="27"/>
  <c r="F146" i="26"/>
  <c r="G76" i="27"/>
  <c r="G104" i="27"/>
  <c r="G118" i="27"/>
  <c r="G132" i="27"/>
  <c r="E34" i="27"/>
  <c r="E76" i="27"/>
  <c r="C132" i="27"/>
  <c r="D132" i="26"/>
  <c r="G146" i="26"/>
  <c r="C20" i="27"/>
  <c r="F34" i="27"/>
  <c r="D132" i="27"/>
  <c r="D34" i="26"/>
  <c r="G48" i="26"/>
  <c r="I6" i="27"/>
  <c r="D20" i="27"/>
  <c r="G34" i="27"/>
  <c r="E132" i="27"/>
  <c r="E73" i="30"/>
  <c r="H74" i="30" s="1"/>
  <c r="J74" i="30"/>
  <c r="F132" i="26"/>
  <c r="J6" i="27"/>
  <c r="E20" i="27"/>
  <c r="D90" i="27"/>
  <c r="F34" i="26"/>
  <c r="D118" i="26"/>
  <c r="G132" i="26"/>
  <c r="K6" i="27"/>
  <c r="F20" i="27"/>
  <c r="G90" i="27"/>
  <c r="I6" i="26"/>
  <c r="D20" i="26"/>
  <c r="G34" i="26"/>
  <c r="G20" i="27"/>
  <c r="G118" i="28"/>
  <c r="G48" i="28"/>
  <c r="G146" i="28"/>
  <c r="G104" i="28"/>
  <c r="G160" i="28"/>
  <c r="G90" i="28"/>
  <c r="I6" i="28"/>
  <c r="J6" i="28"/>
  <c r="K6" i="28"/>
  <c r="L6" i="28"/>
  <c r="G62" i="28"/>
  <c r="M6" i="28"/>
  <c r="G76" i="28"/>
  <c r="G34" i="28"/>
  <c r="J43" i="30"/>
  <c r="J38" i="30"/>
  <c r="J36" i="30"/>
  <c r="J34" i="30"/>
  <c r="J32" i="30"/>
  <c r="J40" i="30"/>
  <c r="G29" i="30"/>
  <c r="J30" i="30" s="1"/>
  <c r="J42" i="30"/>
  <c r="J37" i="30"/>
  <c r="J35" i="30"/>
  <c r="J33" i="30"/>
  <c r="J31" i="30"/>
  <c r="J41" i="30"/>
  <c r="J39" i="30"/>
  <c r="L30" i="30"/>
  <c r="G132" i="28"/>
  <c r="G7" i="30"/>
  <c r="G20" i="28"/>
  <c r="J20" i="30"/>
  <c r="J21" i="30"/>
  <c r="J17" i="30"/>
  <c r="J10" i="30"/>
  <c r="J16" i="30"/>
  <c r="J13" i="30"/>
  <c r="J12" i="30"/>
  <c r="J15" i="30"/>
  <c r="L15" i="30"/>
  <c r="L13" i="30"/>
  <c r="L11" i="30"/>
  <c r="L9" i="30"/>
  <c r="L8" i="30"/>
  <c r="L10" i="30"/>
  <c r="L12" i="30"/>
  <c r="C160" i="28"/>
  <c r="C146" i="28"/>
  <c r="C104" i="28"/>
  <c r="C34" i="28"/>
  <c r="C90" i="28"/>
  <c r="L81" i="30"/>
  <c r="L79" i="30"/>
  <c r="L77" i="30"/>
  <c r="L75" i="30"/>
  <c r="L52" i="30"/>
  <c r="L58" i="30"/>
  <c r="L56" i="30"/>
  <c r="L54" i="30"/>
  <c r="L76" i="30"/>
  <c r="L53" i="30"/>
  <c r="L80" i="30"/>
  <c r="L57" i="30"/>
  <c r="I51" i="30"/>
  <c r="L78" i="30"/>
  <c r="H65" i="33"/>
  <c r="E51" i="33"/>
  <c r="H52" i="33" s="1"/>
  <c r="E117" i="30"/>
  <c r="H118" i="30"/>
  <c r="C183" i="30"/>
  <c r="D184" i="30" s="1"/>
  <c r="H184" i="30"/>
  <c r="L118" i="30"/>
  <c r="F184" i="30"/>
  <c r="J118" i="30"/>
  <c r="C161" i="30"/>
  <c r="D162" i="30" s="1"/>
  <c r="E227" i="30"/>
  <c r="H228" i="30" s="1"/>
  <c r="H18" i="31"/>
  <c r="H20" i="31"/>
  <c r="H15" i="31"/>
  <c r="H13" i="31"/>
  <c r="H11" i="31"/>
  <c r="H9" i="31"/>
  <c r="H17" i="31"/>
  <c r="H19" i="31"/>
  <c r="H12" i="31"/>
  <c r="H10" i="31"/>
  <c r="H16" i="31"/>
  <c r="H14" i="31"/>
  <c r="E7" i="31"/>
  <c r="H8" i="31" s="1"/>
  <c r="H21" i="31"/>
  <c r="J230" i="30"/>
  <c r="F234" i="30"/>
  <c r="F238" i="30"/>
  <c r="F240" i="30"/>
  <c r="J237" i="30"/>
  <c r="H235" i="30"/>
  <c r="H233" i="30"/>
  <c r="H231" i="30"/>
  <c r="H229" i="30"/>
  <c r="H237" i="30"/>
  <c r="F235" i="30"/>
  <c r="F233" i="30"/>
  <c r="F231" i="30"/>
  <c r="F229" i="30"/>
  <c r="J239" i="30"/>
  <c r="F237" i="30"/>
  <c r="H239" i="30"/>
  <c r="L234" i="30"/>
  <c r="L232" i="30"/>
  <c r="L230" i="30"/>
  <c r="J20" i="31"/>
  <c r="J15" i="31"/>
  <c r="J13" i="31"/>
  <c r="J11" i="31"/>
  <c r="J9" i="31"/>
  <c r="J17" i="31"/>
  <c r="J19" i="31"/>
  <c r="J8" i="31"/>
  <c r="J21" i="31"/>
  <c r="J16" i="31"/>
  <c r="J14" i="31"/>
  <c r="J12" i="31"/>
  <c r="J10" i="31"/>
  <c r="I249" i="30"/>
  <c r="L250" i="30" s="1"/>
  <c r="L11" i="31"/>
  <c r="L9" i="31"/>
  <c r="L8" i="31"/>
  <c r="L10" i="31"/>
  <c r="F84" i="31"/>
  <c r="C29" i="31"/>
  <c r="F58" i="31"/>
  <c r="F40" i="31"/>
  <c r="F33" i="31"/>
  <c r="F43" i="31"/>
  <c r="F82" i="31"/>
  <c r="F63" i="31"/>
  <c r="F35" i="31"/>
  <c r="F85" i="31"/>
  <c r="F79" i="31"/>
  <c r="F60" i="31"/>
  <c r="F53" i="31"/>
  <c r="F37" i="31"/>
  <c r="F30" i="31"/>
  <c r="F55" i="31"/>
  <c r="F76" i="31"/>
  <c r="F42" i="31"/>
  <c r="F81" i="31"/>
  <c r="F39" i="31"/>
  <c r="F62" i="31"/>
  <c r="F57" i="31"/>
  <c r="F65" i="31"/>
  <c r="F32" i="31"/>
  <c r="F87" i="31"/>
  <c r="F78" i="31"/>
  <c r="F59" i="31"/>
  <c r="F34" i="31"/>
  <c r="F75" i="31"/>
  <c r="F54" i="31"/>
  <c r="F41" i="31"/>
  <c r="F36" i="31"/>
  <c r="F83" i="31"/>
  <c r="F80" i="31"/>
  <c r="F206" i="30"/>
  <c r="C205" i="30"/>
  <c r="D206" i="30" s="1"/>
  <c r="L231" i="30"/>
  <c r="J234" i="30"/>
  <c r="J238" i="30"/>
  <c r="H206" i="30"/>
  <c r="J228" i="30"/>
  <c r="J206" i="30"/>
  <c r="L228" i="30"/>
  <c r="J235" i="30"/>
  <c r="I95" i="30"/>
  <c r="L96" i="30" s="1"/>
  <c r="J173" i="30"/>
  <c r="H175" i="30"/>
  <c r="H170" i="30"/>
  <c r="H168" i="30"/>
  <c r="J188" i="30"/>
  <c r="L206" i="30"/>
  <c r="F31" i="31"/>
  <c r="H74" i="31"/>
  <c r="F164" i="30"/>
  <c r="J166" i="30"/>
  <c r="F169" i="30"/>
  <c r="F175" i="30"/>
  <c r="H195" i="30"/>
  <c r="F232" i="30"/>
  <c r="L235" i="30"/>
  <c r="F239" i="30"/>
  <c r="J74" i="31"/>
  <c r="F43" i="33"/>
  <c r="C29" i="33"/>
  <c r="F30" i="33" s="1"/>
  <c r="L31" i="30"/>
  <c r="L33" i="30"/>
  <c r="L35" i="30"/>
  <c r="H164" i="30"/>
  <c r="L166" i="30"/>
  <c r="J175" i="30"/>
  <c r="F186" i="30"/>
  <c r="L188" i="30"/>
  <c r="H125" i="30"/>
  <c r="J127" i="30"/>
  <c r="F130" i="30"/>
  <c r="H162" i="30"/>
  <c r="H169" i="30"/>
  <c r="F172" i="30"/>
  <c r="F192" i="30"/>
  <c r="J195" i="30"/>
  <c r="J229" i="30"/>
  <c r="H232" i="30"/>
  <c r="H240" i="30"/>
  <c r="F77" i="31"/>
  <c r="I139" i="30"/>
  <c r="L140" i="30" s="1"/>
  <c r="J164" i="30"/>
  <c r="H186" i="30"/>
  <c r="J18" i="31"/>
  <c r="J196" i="30"/>
  <c r="F194" i="30"/>
  <c r="L191" i="30"/>
  <c r="L189" i="30"/>
  <c r="L187" i="30"/>
  <c r="L185" i="30"/>
  <c r="H196" i="30"/>
  <c r="F196" i="30"/>
  <c r="J193" i="30"/>
  <c r="H191" i="30"/>
  <c r="H193" i="30"/>
  <c r="F191" i="30"/>
  <c r="F189" i="30"/>
  <c r="F187" i="30"/>
  <c r="F185" i="30"/>
  <c r="H189" i="30"/>
  <c r="H192" i="30"/>
  <c r="L229" i="30"/>
  <c r="J232" i="30"/>
  <c r="F236" i="30"/>
  <c r="J240" i="30"/>
  <c r="J186" i="30"/>
  <c r="J189" i="30"/>
  <c r="L125" i="30"/>
  <c r="F128" i="30"/>
  <c r="J130" i="30"/>
  <c r="J162" i="30"/>
  <c r="H167" i="30"/>
  <c r="L169" i="30"/>
  <c r="J172" i="30"/>
  <c r="J192" i="30"/>
  <c r="F197" i="30"/>
  <c r="J233" i="30"/>
  <c r="H236" i="30"/>
  <c r="F165" i="30"/>
  <c r="F173" i="30"/>
  <c r="L186" i="30"/>
  <c r="H128" i="30"/>
  <c r="J167" i="30"/>
  <c r="H173" i="30"/>
  <c r="H197" i="30"/>
  <c r="F230" i="30"/>
  <c r="L233" i="30"/>
  <c r="J236" i="30"/>
  <c r="F241" i="30"/>
  <c r="F61" i="31"/>
  <c r="H165" i="30"/>
  <c r="F190" i="30"/>
  <c r="E271" i="30"/>
  <c r="H272" i="30" s="1"/>
  <c r="F120" i="30"/>
  <c r="F122" i="30"/>
  <c r="F124" i="30"/>
  <c r="F126" i="30"/>
  <c r="J128" i="30"/>
  <c r="F163" i="30"/>
  <c r="L167" i="30"/>
  <c r="F170" i="30"/>
  <c r="H187" i="30"/>
  <c r="F193" i="30"/>
  <c r="J197" i="30"/>
  <c r="H230" i="30"/>
  <c r="H241" i="30"/>
  <c r="J272" i="30"/>
  <c r="G51" i="31"/>
  <c r="J52" i="31" s="1"/>
  <c r="H56" i="31"/>
  <c r="H61" i="31"/>
  <c r="H64" i="31"/>
  <c r="H80" i="31"/>
  <c r="H38" i="31"/>
  <c r="H86" i="31"/>
  <c r="H83" i="31"/>
  <c r="J52" i="33"/>
  <c r="J65" i="33"/>
  <c r="H36" i="31"/>
  <c r="H41" i="31"/>
  <c r="H54" i="31"/>
  <c r="J30" i="33"/>
  <c r="L52" i="33"/>
  <c r="J83" i="33"/>
  <c r="H282" i="30"/>
  <c r="H75" i="31"/>
  <c r="J18" i="33"/>
  <c r="J78" i="33"/>
  <c r="H34" i="31"/>
  <c r="H59" i="31"/>
  <c r="H78" i="31"/>
  <c r="H87" i="31"/>
  <c r="G7" i="33"/>
  <c r="J8" i="33" s="1"/>
  <c r="H30" i="33"/>
  <c r="F274" i="30"/>
  <c r="F276" i="30"/>
  <c r="F278" i="30"/>
  <c r="F280" i="30"/>
  <c r="J282" i="30"/>
  <c r="F285" i="30"/>
  <c r="L52" i="31"/>
  <c r="J85" i="33"/>
  <c r="J76" i="33"/>
  <c r="J80" i="33"/>
  <c r="J38" i="33"/>
  <c r="J36" i="33"/>
  <c r="J34" i="33"/>
  <c r="J32" i="33"/>
  <c r="J82" i="33"/>
  <c r="J61" i="33"/>
  <c r="J15" i="33"/>
  <c r="J13" i="33"/>
  <c r="J11" i="33"/>
  <c r="J9" i="33"/>
  <c r="J17" i="33"/>
  <c r="J40" i="33"/>
  <c r="J84" i="33"/>
  <c r="J63" i="33"/>
  <c r="J19" i="33"/>
  <c r="J77" i="33"/>
  <c r="J75" i="33"/>
  <c r="J42" i="33"/>
  <c r="J79" i="33"/>
  <c r="J60" i="33"/>
  <c r="J58" i="33"/>
  <c r="J56" i="33"/>
  <c r="J54" i="33"/>
  <c r="J86" i="33"/>
  <c r="J81" i="33"/>
  <c r="J37" i="33"/>
  <c r="J35" i="33"/>
  <c r="J33" i="33"/>
  <c r="J31" i="33"/>
  <c r="J14" i="33"/>
  <c r="J39" i="33"/>
  <c r="H40" i="31"/>
  <c r="H63" i="31"/>
  <c r="H62" i="31"/>
  <c r="H32" i="31"/>
  <c r="H65" i="31"/>
  <c r="H84" i="31"/>
  <c r="L14" i="33"/>
  <c r="L12" i="33"/>
  <c r="L10" i="33"/>
  <c r="L11" i="33"/>
  <c r="J59" i="33"/>
  <c r="H274" i="30"/>
  <c r="H276" i="30"/>
  <c r="H278" i="30"/>
  <c r="H280" i="30"/>
  <c r="H285" i="30"/>
  <c r="J86" i="31"/>
  <c r="H57" i="31"/>
  <c r="J84" i="31"/>
  <c r="H216" i="30"/>
  <c r="J251" i="30"/>
  <c r="J253" i="30"/>
  <c r="J255" i="30"/>
  <c r="J257" i="30"/>
  <c r="H262" i="30"/>
  <c r="L81" i="31"/>
  <c r="L79" i="31"/>
  <c r="L77" i="31"/>
  <c r="L75" i="31"/>
  <c r="L58" i="31"/>
  <c r="L56" i="31"/>
  <c r="L54" i="31"/>
  <c r="J32" i="31"/>
  <c r="L34" i="31"/>
  <c r="H39" i="31"/>
  <c r="L59" i="31"/>
  <c r="J62" i="31"/>
  <c r="J65" i="31"/>
  <c r="L78" i="31"/>
  <c r="H81" i="31"/>
  <c r="J274" i="30"/>
  <c r="J276" i="30"/>
  <c r="J278" i="30"/>
  <c r="J280" i="30"/>
  <c r="F283" i="30"/>
  <c r="J285" i="30"/>
  <c r="H42" i="31"/>
  <c r="J57" i="31"/>
  <c r="H76" i="31"/>
  <c r="L8" i="33"/>
  <c r="L15" i="33"/>
  <c r="J41" i="33"/>
  <c r="L251" i="30"/>
  <c r="L253" i="30"/>
  <c r="L255" i="30"/>
  <c r="L257" i="30"/>
  <c r="F260" i="30"/>
  <c r="J262" i="30"/>
  <c r="J39" i="31"/>
  <c r="H55" i="31"/>
  <c r="J81" i="31"/>
  <c r="N18" i="35"/>
  <c r="N17" i="35"/>
  <c r="N15" i="35"/>
  <c r="N12" i="35"/>
  <c r="N9" i="35"/>
  <c r="N13" i="35"/>
  <c r="N10" i="35"/>
  <c r="N16" i="35"/>
  <c r="N14" i="35"/>
  <c r="N11" i="35"/>
  <c r="L274" i="30"/>
  <c r="L276" i="30"/>
  <c r="L278" i="30"/>
  <c r="H283" i="30"/>
  <c r="H30" i="31"/>
  <c r="J42" i="31"/>
  <c r="L57" i="31"/>
  <c r="J76" i="31"/>
  <c r="J20" i="33"/>
  <c r="N7" i="35"/>
  <c r="H260" i="30"/>
  <c r="J30" i="31"/>
  <c r="H37" i="31"/>
  <c r="J55" i="31"/>
  <c r="J55" i="33"/>
  <c r="F281" i="30"/>
  <c r="J283" i="30"/>
  <c r="L30" i="31"/>
  <c r="H53" i="31"/>
  <c r="H60" i="31"/>
  <c r="L76" i="31"/>
  <c r="H79" i="31"/>
  <c r="H85" i="31"/>
  <c r="J12" i="33"/>
  <c r="J214" i="30"/>
  <c r="F217" i="30"/>
  <c r="F252" i="30"/>
  <c r="F254" i="30"/>
  <c r="F256" i="30"/>
  <c r="F258" i="30"/>
  <c r="J260" i="30"/>
  <c r="H35" i="31"/>
  <c r="J37" i="31"/>
  <c r="L55" i="31"/>
  <c r="J63" i="31"/>
  <c r="L74" i="31"/>
  <c r="H82" i="31"/>
  <c r="J85" i="31"/>
  <c r="L9" i="33"/>
  <c r="N8" i="35"/>
  <c r="V7" i="35"/>
  <c r="AR7" i="35"/>
  <c r="AB9" i="35"/>
  <c r="AK29" i="35"/>
  <c r="AS7" i="35"/>
  <c r="H13" i="35"/>
  <c r="AB15" i="35"/>
  <c r="AL29" i="35"/>
  <c r="AT7" i="35"/>
  <c r="V11" i="35"/>
  <c r="AB12" i="35"/>
  <c r="L54" i="33"/>
  <c r="L56" i="33"/>
  <c r="L58" i="33"/>
  <c r="V14" i="35"/>
  <c r="V16" i="35"/>
  <c r="I5" i="36"/>
  <c r="AB8" i="35"/>
  <c r="J5" i="36"/>
  <c r="J5" i="37"/>
  <c r="AB7" i="35"/>
  <c r="I5" i="37"/>
  <c r="H8" i="35"/>
  <c r="H12" i="35"/>
  <c r="H15" i="35"/>
  <c r="H7" i="35"/>
  <c r="V10" i="35"/>
  <c r="AB11" i="35"/>
  <c r="I73" i="33"/>
  <c r="AB14" i="35"/>
  <c r="J43" i="33"/>
  <c r="V13" i="35"/>
  <c r="V17" i="35"/>
  <c r="L32" i="33"/>
  <c r="L34" i="33"/>
  <c r="L36" i="33"/>
  <c r="AJ7" i="35"/>
  <c r="H133" i="41"/>
  <c r="I133" i="41"/>
  <c r="G133" i="41"/>
  <c r="Q5" i="37"/>
  <c r="P5" i="37"/>
  <c r="I29" i="35"/>
  <c r="Q5" i="36"/>
  <c r="M133" i="40"/>
  <c r="O133" i="40"/>
  <c r="L133" i="40"/>
  <c r="K133" i="40"/>
  <c r="H123" i="39"/>
  <c r="N133" i="40"/>
  <c r="L123" i="39"/>
  <c r="V29" i="35"/>
  <c r="M123" i="39"/>
  <c r="O133" i="42"/>
  <c r="N133" i="42"/>
  <c r="W29" i="35"/>
  <c r="D16" i="43"/>
  <c r="J5" i="43"/>
  <c r="I5" i="43"/>
  <c r="F7" i="41"/>
  <c r="F8" i="41"/>
  <c r="F6" i="41"/>
  <c r="F9" i="41"/>
  <c r="O133" i="41"/>
  <c r="N133" i="41"/>
  <c r="M133" i="41"/>
  <c r="L133" i="41"/>
  <c r="F5" i="41"/>
  <c r="K133" i="41"/>
  <c r="G5" i="39"/>
  <c r="F8" i="40"/>
  <c r="F10" i="40"/>
  <c r="H5" i="41"/>
  <c r="H5" i="39"/>
  <c r="F5" i="40"/>
  <c r="I5" i="41"/>
  <c r="I5" i="39"/>
  <c r="J5" i="41"/>
  <c r="H5" i="40"/>
  <c r="N5" i="41"/>
  <c r="M5" i="41"/>
  <c r="T5" i="45"/>
  <c r="S5" i="45"/>
  <c r="R5" i="45"/>
  <c r="Q5" i="45"/>
  <c r="P5" i="45"/>
  <c r="I5" i="40"/>
  <c r="L5" i="41"/>
  <c r="L5" i="39"/>
  <c r="C129" i="39"/>
  <c r="J5" i="40"/>
  <c r="G133" i="40"/>
  <c r="H133" i="40"/>
  <c r="Q5" i="41"/>
  <c r="B11" i="48"/>
  <c r="D10" i="48"/>
  <c r="T5" i="43"/>
  <c r="H135" i="44"/>
  <c r="P5" i="43"/>
  <c r="I135" i="44"/>
  <c r="D9" i="48"/>
  <c r="O135" i="44"/>
  <c r="N135" i="44"/>
  <c r="M135" i="44"/>
  <c r="L135" i="44"/>
  <c r="R5" i="43"/>
  <c r="K135" i="44"/>
  <c r="T5" i="41"/>
  <c r="S5" i="41"/>
  <c r="R5" i="41"/>
  <c r="I133" i="42"/>
  <c r="H133" i="42"/>
  <c r="G133" i="42"/>
  <c r="S5" i="43"/>
  <c r="P5" i="41"/>
  <c r="F9" i="42"/>
  <c r="F10" i="42"/>
  <c r="J5" i="44"/>
  <c r="I5" i="44"/>
  <c r="H5" i="44"/>
  <c r="I5" i="42"/>
  <c r="M133" i="42"/>
  <c r="B11" i="47"/>
  <c r="R5" i="40"/>
  <c r="L5" i="44"/>
  <c r="S5" i="40"/>
  <c r="F7" i="42"/>
  <c r="C146" i="43"/>
  <c r="T5" i="44"/>
  <c r="S5" i="44"/>
  <c r="R5" i="44"/>
  <c r="Q5" i="44"/>
  <c r="P5" i="44"/>
  <c r="N5" i="42"/>
  <c r="M5" i="42"/>
  <c r="L5" i="42"/>
  <c r="B12" i="46"/>
  <c r="D11" i="46"/>
  <c r="Q5" i="42"/>
  <c r="F15" i="43"/>
  <c r="I135" i="43"/>
  <c r="M5" i="44"/>
  <c r="D146" i="44"/>
  <c r="G135" i="45"/>
  <c r="D10" i="46"/>
  <c r="H135" i="45"/>
  <c r="F13" i="43"/>
  <c r="M135" i="43"/>
  <c r="I135" i="45"/>
  <c r="D9" i="47"/>
  <c r="N135" i="43"/>
  <c r="F12" i="43"/>
  <c r="O135" i="43"/>
  <c r="K135" i="45"/>
  <c r="D8" i="48"/>
  <c r="P5" i="42"/>
  <c r="L5" i="43"/>
  <c r="H5" i="45"/>
  <c r="L135" i="45"/>
  <c r="M5" i="43"/>
  <c r="C57" i="12" l="1"/>
  <c r="F162" i="30"/>
  <c r="J68" i="18"/>
  <c r="J14" i="18"/>
  <c r="J19" i="18"/>
  <c r="J75" i="18"/>
  <c r="G57" i="12"/>
  <c r="K145" i="45"/>
  <c r="K137" i="45"/>
  <c r="K139" i="45"/>
  <c r="J83" i="18"/>
  <c r="K142" i="45"/>
  <c r="J12" i="18"/>
  <c r="J24" i="18"/>
  <c r="J113" i="18"/>
  <c r="K117" i="17"/>
  <c r="J46" i="18"/>
  <c r="K34" i="17"/>
  <c r="K83" i="17"/>
  <c r="K41" i="17"/>
  <c r="J114" i="19"/>
  <c r="J28" i="18"/>
  <c r="J11" i="18"/>
  <c r="J33" i="18"/>
  <c r="K27" i="17"/>
  <c r="K114" i="17"/>
  <c r="K150" i="17"/>
  <c r="J97" i="18"/>
  <c r="J10" i="19"/>
  <c r="J39" i="19"/>
  <c r="J98" i="18"/>
  <c r="K28" i="17"/>
  <c r="K136" i="17"/>
  <c r="E57" i="12"/>
  <c r="K126" i="17"/>
  <c r="K141" i="45"/>
  <c r="J72" i="18"/>
  <c r="K158" i="17"/>
  <c r="K62" i="17"/>
  <c r="K74" i="17"/>
  <c r="J44" i="18"/>
  <c r="J111" i="18"/>
  <c r="K61" i="17"/>
  <c r="G145" i="43"/>
  <c r="H145" i="43"/>
  <c r="K145" i="43" s="1"/>
  <c r="I145" i="43"/>
  <c r="H140" i="45"/>
  <c r="K140" i="45" s="1"/>
  <c r="G140" i="45"/>
  <c r="I140" i="45"/>
  <c r="L140" i="43"/>
  <c r="O140" i="43"/>
  <c r="N140" i="43"/>
  <c r="M140" i="43"/>
  <c r="M15" i="43"/>
  <c r="L15" i="43"/>
  <c r="N15" i="43"/>
  <c r="I143" i="45"/>
  <c r="H143" i="45"/>
  <c r="K143" i="45" s="1"/>
  <c r="G143" i="45"/>
  <c r="M143" i="43"/>
  <c r="L143" i="43"/>
  <c r="O143" i="43"/>
  <c r="N143" i="43"/>
  <c r="N6" i="43"/>
  <c r="M6" i="43"/>
  <c r="L6" i="43"/>
  <c r="K16" i="43"/>
  <c r="S6" i="42"/>
  <c r="R6" i="42"/>
  <c r="Q6" i="42"/>
  <c r="P6" i="42"/>
  <c r="T6" i="42"/>
  <c r="I143" i="43"/>
  <c r="H143" i="43"/>
  <c r="K143" i="43" s="1"/>
  <c r="G143" i="43"/>
  <c r="I138" i="45"/>
  <c r="H138" i="45"/>
  <c r="K138" i="45" s="1"/>
  <c r="G138" i="45"/>
  <c r="O138" i="43"/>
  <c r="N138" i="43"/>
  <c r="M138" i="43"/>
  <c r="L138" i="43"/>
  <c r="L8" i="43"/>
  <c r="N8" i="43"/>
  <c r="M8" i="43"/>
  <c r="T8" i="42"/>
  <c r="S8" i="42"/>
  <c r="R8" i="42"/>
  <c r="Q8" i="42"/>
  <c r="P8" i="42"/>
  <c r="I144" i="45"/>
  <c r="H144" i="45"/>
  <c r="K144" i="45" s="1"/>
  <c r="G144" i="45"/>
  <c r="H141" i="43"/>
  <c r="K141" i="43" s="1"/>
  <c r="G141" i="43"/>
  <c r="I141" i="43"/>
  <c r="I143" i="44"/>
  <c r="H143" i="44"/>
  <c r="G143" i="44"/>
  <c r="H134" i="42"/>
  <c r="G134" i="42"/>
  <c r="I134" i="42"/>
  <c r="D12" i="46"/>
  <c r="B13" i="46"/>
  <c r="H7" i="42"/>
  <c r="I7" i="42"/>
  <c r="J7" i="42"/>
  <c r="N6" i="42"/>
  <c r="M6" i="42"/>
  <c r="L6" i="42"/>
  <c r="Q9" i="41"/>
  <c r="R9" i="41"/>
  <c r="P9" i="41"/>
  <c r="S9" i="41"/>
  <c r="T9" i="41"/>
  <c r="B12" i="47"/>
  <c r="D11" i="47"/>
  <c r="T14" i="43"/>
  <c r="S14" i="43"/>
  <c r="R14" i="43"/>
  <c r="Q14" i="43"/>
  <c r="P14" i="43"/>
  <c r="J10" i="42"/>
  <c r="H10" i="42"/>
  <c r="I10" i="42"/>
  <c r="R7" i="41"/>
  <c r="T7" i="41"/>
  <c r="S7" i="41"/>
  <c r="AA19" i="41"/>
  <c r="Q7" i="41"/>
  <c r="P7" i="41"/>
  <c r="O141" i="44"/>
  <c r="N141" i="44"/>
  <c r="M141" i="44"/>
  <c r="L141" i="44"/>
  <c r="T8" i="41"/>
  <c r="R8" i="41"/>
  <c r="Q8" i="41"/>
  <c r="P8" i="41"/>
  <c r="S8" i="41"/>
  <c r="O143" i="44"/>
  <c r="N143" i="44"/>
  <c r="M143" i="44"/>
  <c r="L143" i="44"/>
  <c r="O140" i="44"/>
  <c r="N140" i="44"/>
  <c r="M140" i="44"/>
  <c r="L140" i="44"/>
  <c r="O137" i="44"/>
  <c r="N137" i="44"/>
  <c r="M137" i="44"/>
  <c r="L137" i="44"/>
  <c r="O145" i="44"/>
  <c r="N145" i="44"/>
  <c r="M145" i="44"/>
  <c r="L145" i="44"/>
  <c r="N142" i="44"/>
  <c r="M142" i="44"/>
  <c r="L142" i="44"/>
  <c r="O142" i="44"/>
  <c r="M139" i="44"/>
  <c r="L139" i="44"/>
  <c r="O139" i="44"/>
  <c r="N139" i="44"/>
  <c r="L136" i="44"/>
  <c r="J146" i="44"/>
  <c r="O136" i="44"/>
  <c r="N136" i="44"/>
  <c r="M136" i="44"/>
  <c r="I140" i="44"/>
  <c r="H140" i="44"/>
  <c r="K140" i="44" s="1"/>
  <c r="G140" i="44"/>
  <c r="T9" i="43"/>
  <c r="S9" i="43"/>
  <c r="R9" i="43"/>
  <c r="Q9" i="43"/>
  <c r="P9" i="43"/>
  <c r="R11" i="43"/>
  <c r="Q11" i="43"/>
  <c r="T11" i="43"/>
  <c r="P11" i="43"/>
  <c r="S11" i="43"/>
  <c r="T12" i="43"/>
  <c r="S12" i="43"/>
  <c r="P12" i="43"/>
  <c r="R12" i="43"/>
  <c r="Q12" i="43"/>
  <c r="T10" i="43"/>
  <c r="S10" i="43"/>
  <c r="P10" i="43"/>
  <c r="Q10" i="43"/>
  <c r="R10" i="43"/>
  <c r="S8" i="43"/>
  <c r="R8" i="43"/>
  <c r="Q8" i="43"/>
  <c r="P8" i="43"/>
  <c r="T8" i="43"/>
  <c r="Q7" i="43"/>
  <c r="P7" i="43"/>
  <c r="T7" i="43"/>
  <c r="R7" i="43"/>
  <c r="S7" i="43"/>
  <c r="O16" i="43"/>
  <c r="R6" i="43"/>
  <c r="Q6" i="43"/>
  <c r="P6" i="43"/>
  <c r="T6" i="43"/>
  <c r="S6" i="43"/>
  <c r="I137" i="44"/>
  <c r="H137" i="44"/>
  <c r="K137" i="44" s="1"/>
  <c r="G137" i="44"/>
  <c r="I145" i="44"/>
  <c r="H145" i="44"/>
  <c r="K145" i="44" s="1"/>
  <c r="G145" i="44"/>
  <c r="I142" i="44"/>
  <c r="H142" i="44"/>
  <c r="K142" i="44" s="1"/>
  <c r="G142" i="44"/>
  <c r="I139" i="44"/>
  <c r="H139" i="44"/>
  <c r="K139" i="44" s="1"/>
  <c r="G139" i="44"/>
  <c r="I136" i="44"/>
  <c r="H136" i="44"/>
  <c r="K136" i="44" s="1"/>
  <c r="G136" i="44"/>
  <c r="F146" i="44"/>
  <c r="H144" i="44"/>
  <c r="K144" i="44" s="1"/>
  <c r="G144" i="44"/>
  <c r="I144" i="44"/>
  <c r="G141" i="44"/>
  <c r="I141" i="44"/>
  <c r="H141" i="44"/>
  <c r="K141" i="44" s="1"/>
  <c r="I138" i="44"/>
  <c r="H138" i="44"/>
  <c r="K138" i="44" s="1"/>
  <c r="G138" i="44"/>
  <c r="B12" i="48"/>
  <c r="D11" i="48"/>
  <c r="J7" i="43"/>
  <c r="I7" i="43"/>
  <c r="H7" i="43"/>
  <c r="N8" i="40"/>
  <c r="L8" i="40"/>
  <c r="M7" i="41"/>
  <c r="L7" i="41"/>
  <c r="N7" i="41"/>
  <c r="N6" i="41"/>
  <c r="M6" i="41"/>
  <c r="L6" i="41"/>
  <c r="L10" i="41"/>
  <c r="N10" i="41"/>
  <c r="M10" i="41"/>
  <c r="H8" i="40"/>
  <c r="J8" i="40"/>
  <c r="I8" i="40"/>
  <c r="M8" i="40"/>
  <c r="J10" i="40"/>
  <c r="I10" i="40"/>
  <c r="H10" i="40"/>
  <c r="J9" i="40"/>
  <c r="H9" i="40"/>
  <c r="M9" i="40"/>
  <c r="I9" i="40"/>
  <c r="J11" i="43"/>
  <c r="I11" i="43"/>
  <c r="H11" i="43"/>
  <c r="J6" i="41"/>
  <c r="I6" i="41"/>
  <c r="H6" i="41"/>
  <c r="J9" i="41"/>
  <c r="I9" i="41"/>
  <c r="H9" i="41"/>
  <c r="M9" i="41"/>
  <c r="H8" i="41"/>
  <c r="M8" i="41"/>
  <c r="J8" i="41"/>
  <c r="I8" i="41"/>
  <c r="O134" i="41"/>
  <c r="N134" i="41"/>
  <c r="M134" i="41"/>
  <c r="K134" i="41"/>
  <c r="L134" i="41"/>
  <c r="J10" i="43"/>
  <c r="I10" i="43"/>
  <c r="H10" i="43"/>
  <c r="H8" i="43"/>
  <c r="J8" i="43"/>
  <c r="I8" i="43"/>
  <c r="J15" i="43"/>
  <c r="I15" i="43"/>
  <c r="H15" i="43"/>
  <c r="H6" i="43"/>
  <c r="G16" i="43"/>
  <c r="J6" i="43"/>
  <c r="I6" i="43"/>
  <c r="J14" i="43"/>
  <c r="I14" i="43"/>
  <c r="H14" i="43"/>
  <c r="I13" i="43"/>
  <c r="H13" i="43"/>
  <c r="J13" i="43"/>
  <c r="J12" i="43"/>
  <c r="I12" i="43"/>
  <c r="H12" i="43"/>
  <c r="Q33" i="37"/>
  <c r="P33" i="37"/>
  <c r="Q22" i="37"/>
  <c r="P22" i="37"/>
  <c r="P12" i="36"/>
  <c r="Q12" i="36"/>
  <c r="P35" i="37"/>
  <c r="Q35" i="37"/>
  <c r="P38" i="36"/>
  <c r="Q38" i="36"/>
  <c r="H38" i="35"/>
  <c r="I38" i="35"/>
  <c r="V31" i="35"/>
  <c r="W31" i="35"/>
  <c r="Q28" i="37"/>
  <c r="P28" i="37"/>
  <c r="Q27" i="36"/>
  <c r="P27" i="36"/>
  <c r="Q25" i="36"/>
  <c r="P25" i="36"/>
  <c r="I37" i="35"/>
  <c r="H37" i="35"/>
  <c r="W30" i="35"/>
  <c r="V30" i="35"/>
  <c r="Q34" i="36"/>
  <c r="P34" i="36"/>
  <c r="I36" i="35"/>
  <c r="H36" i="35"/>
  <c r="Q26" i="37"/>
  <c r="P26" i="37"/>
  <c r="Q49" i="36"/>
  <c r="P49" i="36"/>
  <c r="Q15" i="36"/>
  <c r="P15" i="36"/>
  <c r="I35" i="35"/>
  <c r="H35" i="35"/>
  <c r="Q18" i="36"/>
  <c r="P18" i="36"/>
  <c r="I34" i="35"/>
  <c r="H34" i="35"/>
  <c r="Q32" i="37"/>
  <c r="P32" i="37"/>
  <c r="Q51" i="36"/>
  <c r="P51" i="36"/>
  <c r="Q45" i="36"/>
  <c r="P45" i="36"/>
  <c r="Q7" i="36"/>
  <c r="P7" i="36"/>
  <c r="I33" i="35"/>
  <c r="H33" i="35"/>
  <c r="H124" i="39"/>
  <c r="G124" i="39"/>
  <c r="I126" i="39"/>
  <c r="H126" i="39"/>
  <c r="G126" i="39"/>
  <c r="I128" i="39"/>
  <c r="G128" i="39"/>
  <c r="H128" i="39"/>
  <c r="H125" i="39"/>
  <c r="G125" i="39"/>
  <c r="I125" i="39"/>
  <c r="Q21" i="37"/>
  <c r="P21" i="37"/>
  <c r="Q11" i="37"/>
  <c r="P11" i="37"/>
  <c r="Q30" i="36"/>
  <c r="P30" i="36"/>
  <c r="Q23" i="36"/>
  <c r="P23" i="36"/>
  <c r="Q10" i="36"/>
  <c r="P10" i="36"/>
  <c r="I32" i="35"/>
  <c r="H32" i="35"/>
  <c r="K134" i="40"/>
  <c r="M134" i="40"/>
  <c r="O134" i="40"/>
  <c r="N134" i="40"/>
  <c r="L134" i="40"/>
  <c r="Q15" i="37"/>
  <c r="P15" i="37"/>
  <c r="Q9" i="37"/>
  <c r="P9" i="37"/>
  <c r="Q7" i="37"/>
  <c r="P7" i="37"/>
  <c r="Q47" i="36"/>
  <c r="P47" i="36"/>
  <c r="Q41" i="36"/>
  <c r="P41" i="36"/>
  <c r="Q21" i="36"/>
  <c r="P21" i="36"/>
  <c r="Q13" i="36"/>
  <c r="P13" i="36"/>
  <c r="I31" i="35"/>
  <c r="H31" i="35"/>
  <c r="Q19" i="37"/>
  <c r="P19" i="37"/>
  <c r="Q38" i="37"/>
  <c r="P38" i="37"/>
  <c r="Q50" i="37"/>
  <c r="P50" i="37"/>
  <c r="Q17" i="37"/>
  <c r="P17" i="37"/>
  <c r="Q24" i="37"/>
  <c r="P24" i="37"/>
  <c r="P13" i="37"/>
  <c r="Q13" i="37"/>
  <c r="Q27" i="37"/>
  <c r="P27" i="37"/>
  <c r="Q34" i="37"/>
  <c r="P34" i="37"/>
  <c r="Q20" i="37"/>
  <c r="P20" i="37"/>
  <c r="Q37" i="37"/>
  <c r="P37" i="37"/>
  <c r="Q43" i="37"/>
  <c r="P43" i="37"/>
  <c r="Q46" i="37"/>
  <c r="P46" i="37"/>
  <c r="P23" i="37"/>
  <c r="Q23" i="37"/>
  <c r="P30" i="37"/>
  <c r="Q30" i="37"/>
  <c r="P49" i="37"/>
  <c r="Q49" i="37"/>
  <c r="Q16" i="37"/>
  <c r="P16" i="37"/>
  <c r="Q36" i="37"/>
  <c r="P36" i="37"/>
  <c r="Q40" i="37"/>
  <c r="P40" i="37"/>
  <c r="Q44" i="37"/>
  <c r="P44" i="37"/>
  <c r="Q48" i="37"/>
  <c r="P48" i="37"/>
  <c r="Q43" i="36"/>
  <c r="P43" i="36"/>
  <c r="Q37" i="36"/>
  <c r="P37" i="36"/>
  <c r="Q16" i="36"/>
  <c r="P16" i="36"/>
  <c r="Q20" i="36"/>
  <c r="P20" i="36"/>
  <c r="Q24" i="36"/>
  <c r="P24" i="36"/>
  <c r="Q28" i="36"/>
  <c r="P28" i="36"/>
  <c r="Q32" i="36"/>
  <c r="P32" i="36"/>
  <c r="Q36" i="36"/>
  <c r="P36" i="36"/>
  <c r="Q40" i="36"/>
  <c r="P40" i="36"/>
  <c r="Q44" i="36"/>
  <c r="P44" i="36"/>
  <c r="Q48" i="36"/>
  <c r="P48" i="36"/>
  <c r="Q51" i="37"/>
  <c r="P51" i="37"/>
  <c r="Q45" i="37"/>
  <c r="P45" i="37"/>
  <c r="Q39" i="36"/>
  <c r="P39" i="36"/>
  <c r="Q33" i="36"/>
  <c r="P33" i="36"/>
  <c r="Q26" i="36"/>
  <c r="P26" i="36"/>
  <c r="W40" i="35"/>
  <c r="V40" i="35"/>
  <c r="I134" i="41"/>
  <c r="H134" i="41"/>
  <c r="G134" i="41"/>
  <c r="Q42" i="37"/>
  <c r="P42" i="37"/>
  <c r="J37" i="36"/>
  <c r="I37" i="36"/>
  <c r="J16" i="36"/>
  <c r="I16" i="36"/>
  <c r="AL9" i="35"/>
  <c r="AK9" i="35"/>
  <c r="AJ9" i="35"/>
  <c r="AL10" i="35"/>
  <c r="AK10" i="35"/>
  <c r="AJ10" i="35"/>
  <c r="AL11" i="35"/>
  <c r="AK11" i="35"/>
  <c r="AJ11" i="35"/>
  <c r="AL12" i="35"/>
  <c r="AK12" i="35"/>
  <c r="AJ12" i="35"/>
  <c r="AL13" i="35"/>
  <c r="AK13" i="35"/>
  <c r="AJ13" i="35"/>
  <c r="AL14" i="35"/>
  <c r="AK14" i="35"/>
  <c r="AJ14" i="35"/>
  <c r="AL15" i="35"/>
  <c r="AK15" i="35"/>
  <c r="AJ15" i="35"/>
  <c r="AL16" i="35"/>
  <c r="AK16" i="35"/>
  <c r="AJ16" i="35"/>
  <c r="AL17" i="35"/>
  <c r="AK17" i="35"/>
  <c r="AJ17" i="35"/>
  <c r="AL18" i="35"/>
  <c r="AK18" i="35"/>
  <c r="AJ18" i="35"/>
  <c r="J21" i="36"/>
  <c r="I21" i="36"/>
  <c r="J11" i="36"/>
  <c r="I11" i="36"/>
  <c r="AL32" i="35"/>
  <c r="AK32" i="35"/>
  <c r="AL30" i="35"/>
  <c r="AK30" i="35"/>
  <c r="AT15" i="35"/>
  <c r="AS15" i="35"/>
  <c r="AR15" i="35"/>
  <c r="G73" i="33"/>
  <c r="J74" i="33" s="1"/>
  <c r="J87" i="33"/>
  <c r="L74" i="33"/>
  <c r="AT13" i="35"/>
  <c r="AS13" i="35"/>
  <c r="AR13" i="35"/>
  <c r="J27" i="37"/>
  <c r="I27" i="37"/>
  <c r="J16" i="37"/>
  <c r="I16" i="37"/>
  <c r="I25" i="37"/>
  <c r="J25" i="37"/>
  <c r="J7" i="37"/>
  <c r="I7" i="37"/>
  <c r="J21" i="37"/>
  <c r="I21" i="37"/>
  <c r="J11" i="37"/>
  <c r="I11" i="37"/>
  <c r="J32" i="37"/>
  <c r="I32" i="37"/>
  <c r="I34" i="37"/>
  <c r="J34" i="37"/>
  <c r="J15" i="37"/>
  <c r="I15" i="37"/>
  <c r="J23" i="37"/>
  <c r="I23" i="37"/>
  <c r="J9" i="37"/>
  <c r="I9" i="37"/>
  <c r="J13" i="37"/>
  <c r="I13" i="37"/>
  <c r="J17" i="37"/>
  <c r="I17" i="37"/>
  <c r="J28" i="37"/>
  <c r="I28" i="37"/>
  <c r="J30" i="37"/>
  <c r="I30" i="37"/>
  <c r="J40" i="37"/>
  <c r="I40" i="37"/>
  <c r="J46" i="37"/>
  <c r="I46" i="37"/>
  <c r="J35" i="37"/>
  <c r="I35" i="37"/>
  <c r="J24" i="37"/>
  <c r="I24" i="37"/>
  <c r="J6" i="37"/>
  <c r="I6" i="37"/>
  <c r="J38" i="37"/>
  <c r="I38" i="37"/>
  <c r="J18" i="37"/>
  <c r="I18" i="37"/>
  <c r="J41" i="37"/>
  <c r="I41" i="37"/>
  <c r="J10" i="37"/>
  <c r="I10" i="37"/>
  <c r="J44" i="37"/>
  <c r="I44" i="37"/>
  <c r="J50" i="37"/>
  <c r="I50" i="37"/>
  <c r="I20" i="37"/>
  <c r="J20" i="37"/>
  <c r="J47" i="37"/>
  <c r="I47" i="37"/>
  <c r="J31" i="37"/>
  <c r="I31" i="37"/>
  <c r="J37" i="37"/>
  <c r="I37" i="37"/>
  <c r="J43" i="37"/>
  <c r="I43" i="37"/>
  <c r="J49" i="37"/>
  <c r="I49" i="37"/>
  <c r="J12" i="37"/>
  <c r="I12" i="37"/>
  <c r="J26" i="37"/>
  <c r="I26" i="37"/>
  <c r="J33" i="37"/>
  <c r="I33" i="37"/>
  <c r="I8" i="37"/>
  <c r="J8" i="37"/>
  <c r="J19" i="37"/>
  <c r="I19" i="37"/>
  <c r="J36" i="37"/>
  <c r="I36" i="37"/>
  <c r="J42" i="37"/>
  <c r="I42" i="37"/>
  <c r="J22" i="37"/>
  <c r="I22" i="37"/>
  <c r="J29" i="37"/>
  <c r="I29" i="37"/>
  <c r="J39" i="37"/>
  <c r="I39" i="37"/>
  <c r="J45" i="37"/>
  <c r="I45" i="37"/>
  <c r="I48" i="37"/>
  <c r="J48" i="37"/>
  <c r="J51" i="37"/>
  <c r="I51" i="37"/>
  <c r="J14" i="37"/>
  <c r="I14" i="37"/>
  <c r="AL36" i="35"/>
  <c r="AK36" i="35"/>
  <c r="AT10" i="35"/>
  <c r="AS10" i="35"/>
  <c r="AR10" i="35"/>
  <c r="J33" i="36"/>
  <c r="I33" i="36"/>
  <c r="J41" i="36"/>
  <c r="I41" i="36"/>
  <c r="J28" i="36"/>
  <c r="I28" i="36"/>
  <c r="J45" i="36"/>
  <c r="I45" i="36"/>
  <c r="J49" i="36"/>
  <c r="I49" i="36"/>
  <c r="J7" i="36"/>
  <c r="I7" i="36"/>
  <c r="J25" i="36"/>
  <c r="I25" i="36"/>
  <c r="J32" i="36"/>
  <c r="I32" i="36"/>
  <c r="J15" i="36"/>
  <c r="I15" i="36"/>
  <c r="J12" i="36"/>
  <c r="I12" i="36"/>
  <c r="J9" i="36"/>
  <c r="I9" i="36"/>
  <c r="J20" i="36"/>
  <c r="I20" i="36"/>
  <c r="J36" i="36"/>
  <c r="I36" i="36"/>
  <c r="J29" i="36"/>
  <c r="I29" i="36"/>
  <c r="J40" i="36"/>
  <c r="I40" i="36"/>
  <c r="J17" i="36"/>
  <c r="I17" i="36"/>
  <c r="J44" i="36"/>
  <c r="I44" i="36"/>
  <c r="I48" i="36"/>
  <c r="J48" i="36"/>
  <c r="J19" i="36"/>
  <c r="I19" i="36"/>
  <c r="J23" i="36"/>
  <c r="I23" i="36"/>
  <c r="J27" i="36"/>
  <c r="I27" i="36"/>
  <c r="J31" i="36"/>
  <c r="I31" i="36"/>
  <c r="J35" i="36"/>
  <c r="I35" i="36"/>
  <c r="J39" i="36"/>
  <c r="I39" i="36"/>
  <c r="J43" i="36"/>
  <c r="I43" i="36"/>
  <c r="J47" i="36"/>
  <c r="I47" i="36"/>
  <c r="J51" i="36"/>
  <c r="I51" i="36"/>
  <c r="I6" i="36"/>
  <c r="J6" i="36"/>
  <c r="I10" i="36"/>
  <c r="J10" i="36"/>
  <c r="I14" i="36"/>
  <c r="J14" i="36"/>
  <c r="J18" i="36"/>
  <c r="I18" i="36"/>
  <c r="J22" i="36"/>
  <c r="I22" i="36"/>
  <c r="J26" i="36"/>
  <c r="I26" i="36"/>
  <c r="J30" i="36"/>
  <c r="I30" i="36"/>
  <c r="J34" i="36"/>
  <c r="I34" i="36"/>
  <c r="J38" i="36"/>
  <c r="I38" i="36"/>
  <c r="J42" i="36"/>
  <c r="I42" i="36"/>
  <c r="J46" i="36"/>
  <c r="I46" i="36"/>
  <c r="J50" i="36"/>
  <c r="I50" i="36"/>
  <c r="AT17" i="35"/>
  <c r="AS17" i="35"/>
  <c r="AR17" i="35"/>
  <c r="AL33" i="35"/>
  <c r="AK33" i="35"/>
  <c r="AL31" i="35"/>
  <c r="AK31" i="35"/>
  <c r="AK34" i="35"/>
  <c r="AL34" i="35"/>
  <c r="AL35" i="35"/>
  <c r="AK35" i="35"/>
  <c r="AL37" i="35"/>
  <c r="AK37" i="35"/>
  <c r="AL38" i="35"/>
  <c r="AK38" i="35"/>
  <c r="AL39" i="35"/>
  <c r="AK39" i="35"/>
  <c r="AL40" i="35"/>
  <c r="AK40" i="35"/>
  <c r="AT18" i="35"/>
  <c r="AS18" i="35"/>
  <c r="AR18" i="35"/>
  <c r="AT14" i="35"/>
  <c r="AS14" i="35"/>
  <c r="AR14" i="35"/>
  <c r="AQ22" i="35"/>
  <c r="AT11" i="35"/>
  <c r="AS11" i="35"/>
  <c r="AR11" i="35"/>
  <c r="AT16" i="35"/>
  <c r="AS16" i="35"/>
  <c r="AR16" i="35"/>
  <c r="H41" i="33"/>
  <c r="H85" i="33"/>
  <c r="H76" i="33"/>
  <c r="H78" i="33"/>
  <c r="H59" i="33"/>
  <c r="H57" i="33"/>
  <c r="H55" i="33"/>
  <c r="H53" i="33"/>
  <c r="H20" i="33"/>
  <c r="H80" i="33"/>
  <c r="H38" i="33"/>
  <c r="H36" i="33"/>
  <c r="H34" i="33"/>
  <c r="H32" i="33"/>
  <c r="H82" i="33"/>
  <c r="H61" i="33"/>
  <c r="H15" i="33"/>
  <c r="H13" i="33"/>
  <c r="H11" i="33"/>
  <c r="H40" i="33"/>
  <c r="H84" i="33"/>
  <c r="H63" i="33"/>
  <c r="H19" i="33"/>
  <c r="H77" i="33"/>
  <c r="H75" i="33"/>
  <c r="H42" i="33"/>
  <c r="H8" i="33"/>
  <c r="H79" i="33"/>
  <c r="H60" i="33"/>
  <c r="H58" i="33"/>
  <c r="H56" i="33"/>
  <c r="H54" i="33"/>
  <c r="H16" i="33"/>
  <c r="H9" i="33"/>
  <c r="H12" i="33"/>
  <c r="H31" i="33"/>
  <c r="H86" i="33"/>
  <c r="H35" i="33"/>
  <c r="H39" i="33"/>
  <c r="H14" i="33"/>
  <c r="E7" i="33"/>
  <c r="H18" i="33"/>
  <c r="H83" i="33"/>
  <c r="H64" i="33"/>
  <c r="H33" i="33"/>
  <c r="H10" i="33"/>
  <c r="H37" i="33"/>
  <c r="H81" i="33"/>
  <c r="H62" i="33"/>
  <c r="H21" i="33"/>
  <c r="H17" i="33"/>
  <c r="E51" i="31"/>
  <c r="H52" i="31" s="1"/>
  <c r="F272" i="30"/>
  <c r="C271" i="30"/>
  <c r="D272" i="30" s="1"/>
  <c r="G139" i="30"/>
  <c r="J140" i="30" s="1"/>
  <c r="D30" i="33"/>
  <c r="G95" i="30"/>
  <c r="J96" i="30" s="1"/>
  <c r="D30" i="31"/>
  <c r="G249" i="30"/>
  <c r="J250" i="30"/>
  <c r="C7" i="31"/>
  <c r="F8" i="31" s="1"/>
  <c r="F18" i="31"/>
  <c r="F20" i="31"/>
  <c r="F15" i="31"/>
  <c r="F13" i="31"/>
  <c r="F11" i="31"/>
  <c r="F9" i="31"/>
  <c r="F17" i="31"/>
  <c r="F19" i="31"/>
  <c r="F21" i="31"/>
  <c r="F12" i="31"/>
  <c r="F10" i="31"/>
  <c r="F16" i="31"/>
  <c r="F14" i="31"/>
  <c r="F228" i="30"/>
  <c r="C227" i="30"/>
  <c r="D228" i="30" s="1"/>
  <c r="C117" i="30"/>
  <c r="D118" i="30" s="1"/>
  <c r="F118" i="30"/>
  <c r="F65" i="33"/>
  <c r="C51" i="33"/>
  <c r="F52" i="33" s="1"/>
  <c r="J59" i="30"/>
  <c r="J57" i="30"/>
  <c r="J55" i="30"/>
  <c r="J53" i="30"/>
  <c r="J61" i="30"/>
  <c r="J84" i="30"/>
  <c r="J86" i="30"/>
  <c r="J52" i="30"/>
  <c r="J81" i="30"/>
  <c r="J79" i="30"/>
  <c r="J77" i="30"/>
  <c r="J75" i="30"/>
  <c r="J65" i="30"/>
  <c r="J60" i="30"/>
  <c r="J58" i="30"/>
  <c r="J56" i="30"/>
  <c r="J54" i="30"/>
  <c r="J83" i="30"/>
  <c r="J85" i="30"/>
  <c r="J82" i="30"/>
  <c r="J64" i="30"/>
  <c r="J63" i="30"/>
  <c r="J87" i="30"/>
  <c r="J76" i="30"/>
  <c r="J62" i="30"/>
  <c r="J80" i="30"/>
  <c r="G51" i="30"/>
  <c r="J78" i="30"/>
  <c r="M150" i="28"/>
  <c r="L150" i="28"/>
  <c r="K150" i="28"/>
  <c r="J150" i="28"/>
  <c r="I150" i="28"/>
  <c r="M85" i="28"/>
  <c r="L85" i="28"/>
  <c r="K85" i="28"/>
  <c r="J85" i="28"/>
  <c r="I85" i="28"/>
  <c r="M39" i="28"/>
  <c r="L39" i="28"/>
  <c r="K39" i="28"/>
  <c r="J39" i="28"/>
  <c r="I39" i="28"/>
  <c r="I126" i="28"/>
  <c r="M126" i="28"/>
  <c r="L126" i="28"/>
  <c r="K126" i="28"/>
  <c r="J126" i="28"/>
  <c r="I64" i="28"/>
  <c r="M64" i="28"/>
  <c r="L64" i="28"/>
  <c r="K64" i="28"/>
  <c r="J64" i="28"/>
  <c r="M60" i="28"/>
  <c r="L60" i="28"/>
  <c r="K60" i="28"/>
  <c r="J60" i="28"/>
  <c r="I60" i="28"/>
  <c r="K41" i="28"/>
  <c r="J41" i="28"/>
  <c r="I41" i="28"/>
  <c r="M41" i="28"/>
  <c r="L41" i="28"/>
  <c r="M12" i="28"/>
  <c r="J12" i="28"/>
  <c r="I12" i="28"/>
  <c r="H20" i="28"/>
  <c r="L12" i="28"/>
  <c r="K12" i="28"/>
  <c r="J10" i="28"/>
  <c r="I10" i="28"/>
  <c r="M10" i="28"/>
  <c r="L10" i="28"/>
  <c r="K10" i="28"/>
  <c r="K78" i="28"/>
  <c r="J78" i="28"/>
  <c r="I78" i="28"/>
  <c r="M78" i="28"/>
  <c r="L78" i="28"/>
  <c r="J69" i="28"/>
  <c r="L69" i="28"/>
  <c r="K69" i="28"/>
  <c r="I69" i="28"/>
  <c r="M69" i="28"/>
  <c r="M46" i="28"/>
  <c r="K46" i="28"/>
  <c r="J46" i="28"/>
  <c r="I46" i="28"/>
  <c r="L46" i="28"/>
  <c r="E7" i="30"/>
  <c r="H8" i="30" s="1"/>
  <c r="H17" i="30"/>
  <c r="H21" i="30"/>
  <c r="H10" i="30"/>
  <c r="H13" i="30"/>
  <c r="H16" i="30"/>
  <c r="H20" i="30"/>
  <c r="H19" i="30"/>
  <c r="H12" i="30"/>
  <c r="H9" i="30"/>
  <c r="H15" i="30"/>
  <c r="H14" i="30"/>
  <c r="H11" i="30"/>
  <c r="J8" i="30"/>
  <c r="H18" i="30"/>
  <c r="M148" i="28"/>
  <c r="L148" i="28"/>
  <c r="J148" i="28"/>
  <c r="K148" i="28"/>
  <c r="I148" i="28"/>
  <c r="L109" i="28"/>
  <c r="K109" i="28"/>
  <c r="J109" i="28"/>
  <c r="I109" i="28"/>
  <c r="M109" i="28"/>
  <c r="K14" i="28"/>
  <c r="M14" i="28"/>
  <c r="L14" i="28"/>
  <c r="J14" i="28"/>
  <c r="I14" i="28"/>
  <c r="L8" i="28"/>
  <c r="K8" i="28"/>
  <c r="J8" i="28"/>
  <c r="I8" i="28"/>
  <c r="M8" i="28"/>
  <c r="M129" i="28"/>
  <c r="I129" i="28"/>
  <c r="L129" i="28"/>
  <c r="K129" i="28"/>
  <c r="J129" i="28"/>
  <c r="M66" i="28"/>
  <c r="L66" i="28"/>
  <c r="K66" i="28"/>
  <c r="J66" i="28"/>
  <c r="I66" i="28"/>
  <c r="L24" i="28"/>
  <c r="M24" i="28"/>
  <c r="K24" i="28"/>
  <c r="J24" i="28"/>
  <c r="I24" i="28"/>
  <c r="M52" i="28"/>
  <c r="L52" i="28"/>
  <c r="K52" i="28"/>
  <c r="J52" i="28"/>
  <c r="I52" i="28"/>
  <c r="I16" i="28"/>
  <c r="M16" i="28"/>
  <c r="L16" i="28"/>
  <c r="K16" i="28"/>
  <c r="J16" i="28"/>
  <c r="M97" i="28"/>
  <c r="L97" i="28"/>
  <c r="K97" i="28"/>
  <c r="J97" i="28"/>
  <c r="I97" i="28"/>
  <c r="J26" i="28"/>
  <c r="M26" i="28"/>
  <c r="L26" i="28"/>
  <c r="K26" i="28"/>
  <c r="I26" i="28"/>
  <c r="H34" i="28"/>
  <c r="H30" i="30"/>
  <c r="H43" i="30"/>
  <c r="H38" i="30"/>
  <c r="H36" i="30"/>
  <c r="H34" i="30"/>
  <c r="H32" i="30"/>
  <c r="H40" i="30"/>
  <c r="H42" i="30"/>
  <c r="H39" i="30"/>
  <c r="H41" i="30"/>
  <c r="H35" i="30"/>
  <c r="H31" i="30"/>
  <c r="H33" i="30"/>
  <c r="E29" i="30"/>
  <c r="H37" i="30"/>
  <c r="M87" i="28"/>
  <c r="L87" i="28"/>
  <c r="K87" i="28"/>
  <c r="J87" i="28"/>
  <c r="I87" i="28"/>
  <c r="K57" i="28"/>
  <c r="M57" i="28"/>
  <c r="L57" i="28"/>
  <c r="J57" i="28"/>
  <c r="I57" i="28"/>
  <c r="K36" i="28"/>
  <c r="M36" i="28"/>
  <c r="L36" i="28"/>
  <c r="J36" i="28"/>
  <c r="I36" i="28"/>
  <c r="M159" i="28"/>
  <c r="K159" i="28"/>
  <c r="L159" i="28"/>
  <c r="J159" i="28"/>
  <c r="I159" i="28"/>
  <c r="L153" i="28"/>
  <c r="K153" i="28"/>
  <c r="I153" i="28"/>
  <c r="M153" i="28"/>
  <c r="J153" i="28"/>
  <c r="M80" i="28"/>
  <c r="L80" i="28"/>
  <c r="K80" i="28"/>
  <c r="J80" i="28"/>
  <c r="I80" i="28"/>
  <c r="H76" i="28"/>
  <c r="M68" i="28"/>
  <c r="L68" i="28"/>
  <c r="K68" i="28"/>
  <c r="J68" i="28"/>
  <c r="I68" i="28"/>
  <c r="M18" i="28"/>
  <c r="L18" i="28"/>
  <c r="K18" i="28"/>
  <c r="J18" i="28"/>
  <c r="I18" i="28"/>
  <c r="L92" i="28"/>
  <c r="M92" i="28"/>
  <c r="K92" i="28"/>
  <c r="J92" i="28"/>
  <c r="I92" i="28"/>
  <c r="H62" i="28"/>
  <c r="M54" i="28"/>
  <c r="L54" i="28"/>
  <c r="K54" i="28"/>
  <c r="J54" i="28"/>
  <c r="I54" i="28"/>
  <c r="I38" i="28"/>
  <c r="M38" i="28"/>
  <c r="L38" i="28"/>
  <c r="K38" i="28"/>
  <c r="J38" i="28"/>
  <c r="J134" i="28"/>
  <c r="I134" i="28"/>
  <c r="M134" i="28"/>
  <c r="L134" i="28"/>
  <c r="K134" i="28"/>
  <c r="M107" i="28"/>
  <c r="L107" i="28"/>
  <c r="K107" i="28"/>
  <c r="J107" i="28"/>
  <c r="I107" i="28"/>
  <c r="M51" i="28"/>
  <c r="L51" i="28"/>
  <c r="K51" i="28"/>
  <c r="J51" i="28"/>
  <c r="I51" i="28"/>
  <c r="M144" i="28"/>
  <c r="K144" i="28"/>
  <c r="I144" i="28"/>
  <c r="J144" i="28"/>
  <c r="L144" i="28"/>
  <c r="M101" i="28"/>
  <c r="L101" i="28"/>
  <c r="K101" i="28"/>
  <c r="J101" i="28"/>
  <c r="I101" i="28"/>
  <c r="M73" i="28"/>
  <c r="L73" i="28"/>
  <c r="K73" i="28"/>
  <c r="J73" i="28"/>
  <c r="I73" i="28"/>
  <c r="I59" i="28"/>
  <c r="M59" i="28"/>
  <c r="L59" i="28"/>
  <c r="K59" i="28"/>
  <c r="J59" i="28"/>
  <c r="M30" i="28"/>
  <c r="L30" i="28"/>
  <c r="K30" i="28"/>
  <c r="J30" i="28"/>
  <c r="I30" i="28"/>
  <c r="M13" i="28"/>
  <c r="L13" i="28"/>
  <c r="K13" i="28"/>
  <c r="J13" i="28"/>
  <c r="I13" i="28"/>
  <c r="M11" i="28"/>
  <c r="L11" i="28"/>
  <c r="K11" i="28"/>
  <c r="J11" i="28"/>
  <c r="I11" i="28"/>
  <c r="M151" i="28"/>
  <c r="K151" i="28"/>
  <c r="I151" i="28"/>
  <c r="L151" i="28"/>
  <c r="J151" i="28"/>
  <c r="K122" i="28"/>
  <c r="J122" i="28"/>
  <c r="M122" i="28"/>
  <c r="I122" i="28"/>
  <c r="L122" i="28"/>
  <c r="M83" i="28"/>
  <c r="L83" i="28"/>
  <c r="K83" i="28"/>
  <c r="J83" i="28"/>
  <c r="I83" i="28"/>
  <c r="M70" i="28"/>
  <c r="L70" i="28"/>
  <c r="K70" i="28"/>
  <c r="J70" i="28"/>
  <c r="I70" i="28"/>
  <c r="H48" i="28"/>
  <c r="M40" i="28"/>
  <c r="L40" i="28"/>
  <c r="K40" i="28"/>
  <c r="J40" i="28"/>
  <c r="I40" i="28"/>
  <c r="M23" i="28"/>
  <c r="L23" i="28"/>
  <c r="K23" i="28"/>
  <c r="J23" i="28"/>
  <c r="I23" i="28"/>
  <c r="M9" i="28"/>
  <c r="L9" i="28"/>
  <c r="K9" i="28"/>
  <c r="J9" i="28"/>
  <c r="I9" i="28"/>
  <c r="M56" i="28"/>
  <c r="L56" i="28"/>
  <c r="K56" i="28"/>
  <c r="J56" i="28"/>
  <c r="I56" i="28"/>
  <c r="M32" i="28"/>
  <c r="L32" i="28"/>
  <c r="K32" i="28"/>
  <c r="J32" i="28"/>
  <c r="I32" i="28"/>
  <c r="M15" i="28"/>
  <c r="L15" i="28"/>
  <c r="K15" i="28"/>
  <c r="J15" i="28"/>
  <c r="I15" i="28"/>
  <c r="M95" i="28"/>
  <c r="L95" i="28"/>
  <c r="K95" i="28"/>
  <c r="J95" i="28"/>
  <c r="I95" i="28"/>
  <c r="M82" i="28"/>
  <c r="L82" i="28"/>
  <c r="K82" i="28"/>
  <c r="H90" i="28"/>
  <c r="J82" i="28"/>
  <c r="I82" i="28"/>
  <c r="M42" i="28"/>
  <c r="L42" i="28"/>
  <c r="K42" i="28"/>
  <c r="J42" i="28"/>
  <c r="I42" i="28"/>
  <c r="M25" i="28"/>
  <c r="L25" i="28"/>
  <c r="K25" i="28"/>
  <c r="J25" i="28"/>
  <c r="I25" i="28"/>
  <c r="J112" i="28"/>
  <c r="I112" i="28"/>
  <c r="M112" i="28"/>
  <c r="L112" i="28"/>
  <c r="K112" i="28"/>
  <c r="L110" i="28"/>
  <c r="K110" i="28"/>
  <c r="M110" i="28"/>
  <c r="J110" i="28"/>
  <c r="I110" i="28"/>
  <c r="H118" i="28"/>
  <c r="M84" i="28"/>
  <c r="L84" i="28"/>
  <c r="K84" i="28"/>
  <c r="J84" i="28"/>
  <c r="I84" i="28"/>
  <c r="K100" i="28"/>
  <c r="J100" i="28"/>
  <c r="M100" i="28"/>
  <c r="L100" i="28"/>
  <c r="I100" i="28"/>
  <c r="L137" i="28"/>
  <c r="J137" i="28"/>
  <c r="M137" i="28"/>
  <c r="K137" i="28"/>
  <c r="I137" i="28"/>
  <c r="L154" i="28"/>
  <c r="J154" i="28"/>
  <c r="M154" i="28"/>
  <c r="K154" i="28"/>
  <c r="I154" i="28"/>
  <c r="J31" i="28"/>
  <c r="I31" i="28"/>
  <c r="L31" i="28"/>
  <c r="K31" i="28"/>
  <c r="M31" i="28"/>
  <c r="K53" i="28"/>
  <c r="J53" i="28"/>
  <c r="I53" i="28"/>
  <c r="M53" i="28"/>
  <c r="L53" i="28"/>
  <c r="K74" i="28"/>
  <c r="J74" i="28"/>
  <c r="I74" i="28"/>
  <c r="M74" i="28"/>
  <c r="L74" i="28"/>
  <c r="L88" i="28"/>
  <c r="M88" i="28"/>
  <c r="K88" i="28"/>
  <c r="J88" i="28"/>
  <c r="I88" i="28"/>
  <c r="K127" i="28"/>
  <c r="I127" i="28"/>
  <c r="M127" i="28"/>
  <c r="L127" i="28"/>
  <c r="J127" i="28"/>
  <c r="M142" i="28"/>
  <c r="K142" i="28"/>
  <c r="L142" i="28"/>
  <c r="J142" i="28"/>
  <c r="I142" i="28"/>
  <c r="I22" i="28"/>
  <c r="K22" i="28"/>
  <c r="J22" i="28"/>
  <c r="M22" i="28"/>
  <c r="L22" i="28"/>
  <c r="J43" i="28"/>
  <c r="I43" i="28"/>
  <c r="M43" i="28"/>
  <c r="L43" i="28"/>
  <c r="K43" i="28"/>
  <c r="J65" i="28"/>
  <c r="I65" i="28"/>
  <c r="M65" i="28"/>
  <c r="L65" i="28"/>
  <c r="K65" i="28"/>
  <c r="M86" i="28"/>
  <c r="L86" i="28"/>
  <c r="K86" i="28"/>
  <c r="J86" i="28"/>
  <c r="I86" i="28"/>
  <c r="M108" i="28"/>
  <c r="I108" i="28"/>
  <c r="L108" i="28"/>
  <c r="K108" i="28"/>
  <c r="J108" i="28"/>
  <c r="L135" i="28"/>
  <c r="M135" i="28"/>
  <c r="K135" i="28"/>
  <c r="J135" i="28"/>
  <c r="I135" i="28"/>
  <c r="M33" i="28"/>
  <c r="L33" i="28"/>
  <c r="K33" i="28"/>
  <c r="J33" i="28"/>
  <c r="I33" i="28"/>
  <c r="M55" i="28"/>
  <c r="I55" i="28"/>
  <c r="L55" i="28"/>
  <c r="K55" i="28"/>
  <c r="J55" i="28"/>
  <c r="M125" i="28"/>
  <c r="K125" i="28"/>
  <c r="L125" i="28"/>
  <c r="J125" i="28"/>
  <c r="I125" i="28"/>
  <c r="L45" i="28"/>
  <c r="M45" i="28"/>
  <c r="K45" i="28"/>
  <c r="J45" i="28"/>
  <c r="I45" i="28"/>
  <c r="L67" i="28"/>
  <c r="M67" i="28"/>
  <c r="K67" i="28"/>
  <c r="J67" i="28"/>
  <c r="I67" i="28"/>
  <c r="L115" i="28"/>
  <c r="J115" i="28"/>
  <c r="M115" i="28"/>
  <c r="K115" i="28"/>
  <c r="I115" i="28"/>
  <c r="M149" i="28"/>
  <c r="K149" i="28"/>
  <c r="I149" i="28"/>
  <c r="L149" i="28"/>
  <c r="J149" i="28"/>
  <c r="K79" i="28"/>
  <c r="J79" i="28"/>
  <c r="M79" i="28"/>
  <c r="L79" i="28"/>
  <c r="I79" i="28"/>
  <c r="K106" i="28"/>
  <c r="I106" i="28"/>
  <c r="M106" i="28"/>
  <c r="L106" i="28"/>
  <c r="J106" i="28"/>
  <c r="M123" i="28"/>
  <c r="K123" i="28"/>
  <c r="J123" i="28"/>
  <c r="I123" i="28"/>
  <c r="L123" i="28"/>
  <c r="M140" i="28"/>
  <c r="K140" i="28"/>
  <c r="J140" i="28"/>
  <c r="I140" i="28"/>
  <c r="L140" i="28"/>
  <c r="H160" i="28"/>
  <c r="L152" i="28"/>
  <c r="K152" i="28"/>
  <c r="J152" i="28"/>
  <c r="I152" i="28"/>
  <c r="M152" i="28"/>
  <c r="L113" i="28"/>
  <c r="J113" i="28"/>
  <c r="I113" i="28"/>
  <c r="M113" i="28"/>
  <c r="K113" i="28"/>
  <c r="J130" i="28"/>
  <c r="I130" i="28"/>
  <c r="M130" i="28"/>
  <c r="L130" i="28"/>
  <c r="K130" i="28"/>
  <c r="J155" i="28"/>
  <c r="I155" i="28"/>
  <c r="L155" i="28"/>
  <c r="K155" i="28"/>
  <c r="M155" i="28"/>
  <c r="I81" i="28"/>
  <c r="M81" i="28"/>
  <c r="L81" i="28"/>
  <c r="K81" i="28"/>
  <c r="J81" i="28"/>
  <c r="M103" i="28"/>
  <c r="K103" i="28"/>
  <c r="I103" i="28"/>
  <c r="L103" i="28"/>
  <c r="J103" i="28"/>
  <c r="I121" i="28"/>
  <c r="J121" i="28"/>
  <c r="M121" i="28"/>
  <c r="L121" i="28"/>
  <c r="K121" i="28"/>
  <c r="I138" i="28"/>
  <c r="H146" i="28"/>
  <c r="M138" i="28"/>
  <c r="L138" i="28"/>
  <c r="K138" i="28"/>
  <c r="J138" i="28"/>
  <c r="M28" i="28"/>
  <c r="L28" i="28"/>
  <c r="K28" i="28"/>
  <c r="J28" i="28"/>
  <c r="I28" i="28"/>
  <c r="J50" i="28"/>
  <c r="I50" i="28"/>
  <c r="M50" i="28"/>
  <c r="L50" i="28"/>
  <c r="K50" i="28"/>
  <c r="M71" i="28"/>
  <c r="L71" i="28"/>
  <c r="K71" i="28"/>
  <c r="J71" i="28"/>
  <c r="I71" i="28"/>
  <c r="L94" i="28"/>
  <c r="J94" i="28"/>
  <c r="K94" i="28"/>
  <c r="I94" i="28"/>
  <c r="M94" i="28"/>
  <c r="M111" i="28"/>
  <c r="L111" i="28"/>
  <c r="K111" i="28"/>
  <c r="J111" i="28"/>
  <c r="I111" i="28"/>
  <c r="M128" i="28"/>
  <c r="L128" i="28"/>
  <c r="K128" i="28"/>
  <c r="J128" i="28"/>
  <c r="I128" i="28"/>
  <c r="L156" i="28"/>
  <c r="J156" i="28"/>
  <c r="M156" i="28"/>
  <c r="K156" i="28"/>
  <c r="I156" i="28"/>
  <c r="L158" i="28"/>
  <c r="J158" i="28"/>
  <c r="M158" i="28"/>
  <c r="K158" i="28"/>
  <c r="I158" i="28"/>
  <c r="J96" i="28"/>
  <c r="L96" i="28"/>
  <c r="K96" i="28"/>
  <c r="I96" i="28"/>
  <c r="M96" i="28"/>
  <c r="H104" i="28"/>
  <c r="J117" i="28"/>
  <c r="M117" i="28"/>
  <c r="L117" i="28"/>
  <c r="K117" i="28"/>
  <c r="I117" i="28"/>
  <c r="J139" i="28"/>
  <c r="M139" i="28"/>
  <c r="L139" i="28"/>
  <c r="K139" i="28"/>
  <c r="I139" i="28"/>
  <c r="M98" i="28"/>
  <c r="L98" i="28"/>
  <c r="K98" i="28"/>
  <c r="J98" i="28"/>
  <c r="I98" i="28"/>
  <c r="M120" i="28"/>
  <c r="L120" i="28"/>
  <c r="K120" i="28"/>
  <c r="J120" i="28"/>
  <c r="I120" i="28"/>
  <c r="M141" i="28"/>
  <c r="L141" i="28"/>
  <c r="K141" i="28"/>
  <c r="J141" i="28"/>
  <c r="I141" i="28"/>
  <c r="K143" i="28"/>
  <c r="J143" i="28"/>
  <c r="I143" i="28"/>
  <c r="M143" i="28"/>
  <c r="L143" i="28"/>
  <c r="I102" i="28"/>
  <c r="M102" i="28"/>
  <c r="L102" i="28"/>
  <c r="K102" i="28"/>
  <c r="J102" i="28"/>
  <c r="I124" i="28"/>
  <c r="H132" i="28"/>
  <c r="M124" i="28"/>
  <c r="L124" i="28"/>
  <c r="K124" i="28"/>
  <c r="J124" i="28"/>
  <c r="I145" i="28"/>
  <c r="M145" i="28"/>
  <c r="L145" i="28"/>
  <c r="K145" i="28"/>
  <c r="J145" i="28"/>
  <c r="M93" i="28"/>
  <c r="L93" i="28"/>
  <c r="K93" i="28"/>
  <c r="J93" i="28"/>
  <c r="I93" i="28"/>
  <c r="L114" i="28"/>
  <c r="K114" i="28"/>
  <c r="J114" i="28"/>
  <c r="I114" i="28"/>
  <c r="M114" i="28"/>
  <c r="M136" i="28"/>
  <c r="L136" i="28"/>
  <c r="K136" i="28"/>
  <c r="J136" i="28"/>
  <c r="I136" i="28"/>
  <c r="M157" i="28"/>
  <c r="L157" i="28"/>
  <c r="K157" i="28"/>
  <c r="J157" i="28"/>
  <c r="I157" i="28"/>
  <c r="M17" i="28"/>
  <c r="L17" i="28"/>
  <c r="K17" i="28"/>
  <c r="J17" i="28"/>
  <c r="I17" i="28"/>
  <c r="K66" i="27"/>
  <c r="I66" i="27"/>
  <c r="J66" i="27"/>
  <c r="K24" i="27"/>
  <c r="J24" i="27"/>
  <c r="I24" i="27"/>
  <c r="H132" i="26"/>
  <c r="K124" i="26"/>
  <c r="J124" i="26"/>
  <c r="I124" i="26"/>
  <c r="K102" i="26"/>
  <c r="J102" i="26"/>
  <c r="I102" i="26"/>
  <c r="K81" i="26"/>
  <c r="J81" i="26"/>
  <c r="I81" i="26"/>
  <c r="J59" i="26"/>
  <c r="I59" i="26"/>
  <c r="K59" i="26"/>
  <c r="K38" i="26"/>
  <c r="J38" i="26"/>
  <c r="I38" i="26"/>
  <c r="K16" i="26"/>
  <c r="J16" i="26"/>
  <c r="I16" i="26"/>
  <c r="K116" i="27"/>
  <c r="J116" i="27"/>
  <c r="I116" i="27"/>
  <c r="I36" i="27"/>
  <c r="K36" i="27"/>
  <c r="J36" i="27"/>
  <c r="I14" i="27"/>
  <c r="K14" i="27"/>
  <c r="J14" i="27"/>
  <c r="I157" i="26"/>
  <c r="K157" i="26"/>
  <c r="J157" i="26"/>
  <c r="I136" i="26"/>
  <c r="K136" i="26"/>
  <c r="J136" i="26"/>
  <c r="I114" i="26"/>
  <c r="J114" i="26"/>
  <c r="K114" i="26"/>
  <c r="I93" i="26"/>
  <c r="K93" i="26"/>
  <c r="J93" i="26"/>
  <c r="I71" i="26"/>
  <c r="K71" i="26"/>
  <c r="J71" i="26"/>
  <c r="I50" i="26"/>
  <c r="K50" i="26"/>
  <c r="J50" i="26"/>
  <c r="I28" i="26"/>
  <c r="K28" i="26"/>
  <c r="J28" i="26"/>
  <c r="J109" i="27"/>
  <c r="I109" i="27"/>
  <c r="K109" i="27"/>
  <c r="J78" i="27"/>
  <c r="I78" i="27"/>
  <c r="K78" i="27"/>
  <c r="J60" i="27"/>
  <c r="K60" i="27"/>
  <c r="I60" i="27"/>
  <c r="J53" i="27"/>
  <c r="I53" i="27"/>
  <c r="K53" i="27"/>
  <c r="J45" i="27"/>
  <c r="I45" i="27"/>
  <c r="K45" i="27"/>
  <c r="J26" i="27"/>
  <c r="I26" i="27"/>
  <c r="H34" i="27"/>
  <c r="K26" i="27"/>
  <c r="J148" i="26"/>
  <c r="I148" i="26"/>
  <c r="K148" i="26"/>
  <c r="J126" i="26"/>
  <c r="I126" i="26"/>
  <c r="K126" i="26"/>
  <c r="J83" i="26"/>
  <c r="I83" i="26"/>
  <c r="K83" i="26"/>
  <c r="J61" i="26"/>
  <c r="I61" i="26"/>
  <c r="K61" i="26"/>
  <c r="J40" i="26"/>
  <c r="I40" i="26"/>
  <c r="H48" i="26"/>
  <c r="K40" i="26"/>
  <c r="J18" i="26"/>
  <c r="I18" i="26"/>
  <c r="K18" i="26"/>
  <c r="C73" i="30"/>
  <c r="D74" i="30" s="1"/>
  <c r="K140" i="27"/>
  <c r="J140" i="27"/>
  <c r="I140" i="27"/>
  <c r="K38" i="27"/>
  <c r="J38" i="27"/>
  <c r="I38" i="27"/>
  <c r="K16" i="27"/>
  <c r="J16" i="27"/>
  <c r="I16" i="27"/>
  <c r="K159" i="26"/>
  <c r="J159" i="26"/>
  <c r="I159" i="26"/>
  <c r="K138" i="26"/>
  <c r="J138" i="26"/>
  <c r="I138" i="26"/>
  <c r="H146" i="26"/>
  <c r="K116" i="26"/>
  <c r="J116" i="26"/>
  <c r="I116" i="26"/>
  <c r="K95" i="26"/>
  <c r="J95" i="26"/>
  <c r="I95" i="26"/>
  <c r="K73" i="26"/>
  <c r="J73" i="26"/>
  <c r="I73" i="26"/>
  <c r="K52" i="26"/>
  <c r="J52" i="26"/>
  <c r="I52" i="26"/>
  <c r="K30" i="26"/>
  <c r="J30" i="26"/>
  <c r="I30" i="26"/>
  <c r="K9" i="26"/>
  <c r="J9" i="26"/>
  <c r="I9" i="26"/>
  <c r="K68" i="27"/>
  <c r="J68" i="27"/>
  <c r="I68" i="27"/>
  <c r="H76" i="27"/>
  <c r="K28" i="27"/>
  <c r="J28" i="27"/>
  <c r="I28" i="27"/>
  <c r="K159" i="27"/>
  <c r="J159" i="27"/>
  <c r="I159" i="27"/>
  <c r="K126" i="27"/>
  <c r="J126" i="27"/>
  <c r="I126" i="27"/>
  <c r="K148" i="27"/>
  <c r="J148" i="27"/>
  <c r="I148" i="27"/>
  <c r="K93" i="27"/>
  <c r="J93" i="27"/>
  <c r="I93" i="27"/>
  <c r="K114" i="27"/>
  <c r="J114" i="27"/>
  <c r="I114" i="27"/>
  <c r="K136" i="27"/>
  <c r="J136" i="27"/>
  <c r="I136" i="27"/>
  <c r="K157" i="27"/>
  <c r="J157" i="27"/>
  <c r="I157" i="27"/>
  <c r="J81" i="27"/>
  <c r="I81" i="27"/>
  <c r="K81" i="27"/>
  <c r="K102" i="27"/>
  <c r="J102" i="27"/>
  <c r="I102" i="27"/>
  <c r="K124" i="27"/>
  <c r="J124" i="27"/>
  <c r="I124" i="27"/>
  <c r="H132" i="27"/>
  <c r="K145" i="27"/>
  <c r="J145" i="27"/>
  <c r="I145" i="27"/>
  <c r="K112" i="27"/>
  <c r="J112" i="27"/>
  <c r="I112" i="27"/>
  <c r="K134" i="27"/>
  <c r="J134" i="27"/>
  <c r="I134" i="27"/>
  <c r="K155" i="27"/>
  <c r="J155" i="27"/>
  <c r="I155" i="27"/>
  <c r="J79" i="27"/>
  <c r="K79" i="27"/>
  <c r="I79" i="27"/>
  <c r="K100" i="27"/>
  <c r="J100" i="27"/>
  <c r="I100" i="27"/>
  <c r="K122" i="27"/>
  <c r="J122" i="27"/>
  <c r="I122" i="27"/>
  <c r="K143" i="27"/>
  <c r="J143" i="27"/>
  <c r="I143" i="27"/>
  <c r="K88" i="27"/>
  <c r="J88" i="27"/>
  <c r="I88" i="27"/>
  <c r="K110" i="27"/>
  <c r="J110" i="27"/>
  <c r="I110" i="27"/>
  <c r="H118" i="27"/>
  <c r="K131" i="27"/>
  <c r="J131" i="27"/>
  <c r="I131" i="27"/>
  <c r="K153" i="27"/>
  <c r="J153" i="27"/>
  <c r="I153" i="27"/>
  <c r="K98" i="27"/>
  <c r="J98" i="27"/>
  <c r="I98" i="27"/>
  <c r="K120" i="27"/>
  <c r="J120" i="27"/>
  <c r="I120" i="27"/>
  <c r="K141" i="27"/>
  <c r="J141" i="27"/>
  <c r="I141" i="27"/>
  <c r="J86" i="27"/>
  <c r="I86" i="27"/>
  <c r="K86" i="27"/>
  <c r="K108" i="27"/>
  <c r="J108" i="27"/>
  <c r="I108" i="27"/>
  <c r="K129" i="27"/>
  <c r="J129" i="27"/>
  <c r="I129" i="27"/>
  <c r="K151" i="27"/>
  <c r="J151" i="27"/>
  <c r="I151" i="27"/>
  <c r="K96" i="27"/>
  <c r="J96" i="27"/>
  <c r="I96" i="27"/>
  <c r="H104" i="27"/>
  <c r="K117" i="27"/>
  <c r="J117" i="27"/>
  <c r="I117" i="27"/>
  <c r="K139" i="27"/>
  <c r="J139" i="27"/>
  <c r="I139" i="27"/>
  <c r="K84" i="27"/>
  <c r="J84" i="27"/>
  <c r="I84" i="27"/>
  <c r="K106" i="27"/>
  <c r="J106" i="27"/>
  <c r="I106" i="27"/>
  <c r="K127" i="27"/>
  <c r="J127" i="27"/>
  <c r="I127" i="27"/>
  <c r="K149" i="27"/>
  <c r="J149" i="27"/>
  <c r="I149" i="27"/>
  <c r="K94" i="27"/>
  <c r="J94" i="27"/>
  <c r="I94" i="27"/>
  <c r="K115" i="27"/>
  <c r="J115" i="27"/>
  <c r="I115" i="27"/>
  <c r="K137" i="27"/>
  <c r="J137" i="27"/>
  <c r="I137" i="27"/>
  <c r="K158" i="27"/>
  <c r="J158" i="27"/>
  <c r="I158" i="27"/>
  <c r="J82" i="27"/>
  <c r="I82" i="27"/>
  <c r="H90" i="27"/>
  <c r="K82" i="27"/>
  <c r="J103" i="27"/>
  <c r="I103" i="27"/>
  <c r="K103" i="27"/>
  <c r="J125" i="27"/>
  <c r="I125" i="27"/>
  <c r="K125" i="27"/>
  <c r="I70" i="27"/>
  <c r="K70" i="27"/>
  <c r="J70" i="27"/>
  <c r="I92" i="27"/>
  <c r="K92" i="27"/>
  <c r="J92" i="27"/>
  <c r="I113" i="27"/>
  <c r="K113" i="27"/>
  <c r="J113" i="27"/>
  <c r="I135" i="27"/>
  <c r="K135" i="27"/>
  <c r="J135" i="27"/>
  <c r="I156" i="27"/>
  <c r="K156" i="27"/>
  <c r="J156" i="27"/>
  <c r="K58" i="27"/>
  <c r="J58" i="27"/>
  <c r="I58" i="27"/>
  <c r="K80" i="27"/>
  <c r="J80" i="27"/>
  <c r="I80" i="27"/>
  <c r="K101" i="27"/>
  <c r="J101" i="27"/>
  <c r="I101" i="27"/>
  <c r="K123" i="27"/>
  <c r="J123" i="27"/>
  <c r="I123" i="27"/>
  <c r="K144" i="27"/>
  <c r="J144" i="27"/>
  <c r="I144" i="27"/>
  <c r="K150" i="26"/>
  <c r="J150" i="26"/>
  <c r="I150" i="26"/>
  <c r="K128" i="26"/>
  <c r="J128" i="26"/>
  <c r="I128" i="26"/>
  <c r="K107" i="26"/>
  <c r="J107" i="26"/>
  <c r="I107" i="26"/>
  <c r="K85" i="26"/>
  <c r="J85" i="26"/>
  <c r="I85" i="26"/>
  <c r="K55" i="27"/>
  <c r="J55" i="27"/>
  <c r="I55" i="27"/>
  <c r="K47" i="27"/>
  <c r="J47" i="27"/>
  <c r="I47" i="27"/>
  <c r="K40" i="27"/>
  <c r="J40" i="27"/>
  <c r="I40" i="27"/>
  <c r="H48" i="27"/>
  <c r="K18" i="27"/>
  <c r="J18" i="27"/>
  <c r="I18" i="27"/>
  <c r="K140" i="26"/>
  <c r="J140" i="26"/>
  <c r="I140" i="26"/>
  <c r="K97" i="26"/>
  <c r="J97" i="26"/>
  <c r="I97" i="26"/>
  <c r="K75" i="26"/>
  <c r="J75" i="26"/>
  <c r="I75" i="26"/>
  <c r="K54" i="26"/>
  <c r="J54" i="26"/>
  <c r="H62" i="26"/>
  <c r="I54" i="26"/>
  <c r="K32" i="26"/>
  <c r="J32" i="26"/>
  <c r="I32" i="26"/>
  <c r="K11" i="26"/>
  <c r="J11" i="26"/>
  <c r="I11" i="26"/>
  <c r="K107" i="27"/>
  <c r="J107" i="27"/>
  <c r="I107" i="27"/>
  <c r="K85" i="27"/>
  <c r="J85" i="27"/>
  <c r="I85" i="27"/>
  <c r="K30" i="27"/>
  <c r="J30" i="27"/>
  <c r="I30" i="27"/>
  <c r="K9" i="27"/>
  <c r="J9" i="27"/>
  <c r="I9" i="27"/>
  <c r="K152" i="26"/>
  <c r="J152" i="26"/>
  <c r="I152" i="26"/>
  <c r="H160" i="26"/>
  <c r="K130" i="26"/>
  <c r="J130" i="26"/>
  <c r="I130" i="26"/>
  <c r="K109" i="26"/>
  <c r="J109" i="26"/>
  <c r="I109" i="26"/>
  <c r="K87" i="26"/>
  <c r="J87" i="26"/>
  <c r="I87" i="26"/>
  <c r="K66" i="26"/>
  <c r="J66" i="26"/>
  <c r="I66" i="26"/>
  <c r="K44" i="26"/>
  <c r="I44" i="26"/>
  <c r="J44" i="26"/>
  <c r="H146" i="27"/>
  <c r="K138" i="27"/>
  <c r="J138" i="27"/>
  <c r="I138" i="27"/>
  <c r="K99" i="27"/>
  <c r="J99" i="27"/>
  <c r="I99" i="27"/>
  <c r="K142" i="26"/>
  <c r="J142" i="26"/>
  <c r="I142" i="26"/>
  <c r="K121" i="26"/>
  <c r="J121" i="26"/>
  <c r="I121" i="26"/>
  <c r="K99" i="26"/>
  <c r="J99" i="26"/>
  <c r="I99" i="26"/>
  <c r="K78" i="26"/>
  <c r="J78" i="26"/>
  <c r="I78" i="26"/>
  <c r="J56" i="26"/>
  <c r="I56" i="26"/>
  <c r="K56" i="26"/>
  <c r="J13" i="26"/>
  <c r="I13" i="26"/>
  <c r="K13" i="26"/>
  <c r="K130" i="27"/>
  <c r="J130" i="27"/>
  <c r="I130" i="27"/>
  <c r="K65" i="27"/>
  <c r="J65" i="27"/>
  <c r="I65" i="27"/>
  <c r="K57" i="27"/>
  <c r="J57" i="27"/>
  <c r="I57" i="27"/>
  <c r="K50" i="27"/>
  <c r="J50" i="27"/>
  <c r="I50" i="27"/>
  <c r="K42" i="27"/>
  <c r="J42" i="27"/>
  <c r="I42" i="27"/>
  <c r="K32" i="27"/>
  <c r="J32" i="27"/>
  <c r="I32" i="27"/>
  <c r="K11" i="27"/>
  <c r="J11" i="27"/>
  <c r="I11" i="27"/>
  <c r="K154" i="26"/>
  <c r="J154" i="26"/>
  <c r="I154" i="26"/>
  <c r="K111" i="26"/>
  <c r="J111" i="26"/>
  <c r="I111" i="26"/>
  <c r="K89" i="26"/>
  <c r="J89" i="26"/>
  <c r="I89" i="26"/>
  <c r="K68" i="26"/>
  <c r="J68" i="26"/>
  <c r="I68" i="26"/>
  <c r="H76" i="26"/>
  <c r="K46" i="26"/>
  <c r="J46" i="26"/>
  <c r="I46" i="26"/>
  <c r="K25" i="26"/>
  <c r="J25" i="26"/>
  <c r="I25" i="26"/>
  <c r="K23" i="27"/>
  <c r="J23" i="27"/>
  <c r="I23" i="27"/>
  <c r="K144" i="26"/>
  <c r="J144" i="26"/>
  <c r="I144" i="26"/>
  <c r="K123" i="26"/>
  <c r="J123" i="26"/>
  <c r="I123" i="26"/>
  <c r="K101" i="26"/>
  <c r="J101" i="26"/>
  <c r="I101" i="26"/>
  <c r="K13" i="27"/>
  <c r="J13" i="27"/>
  <c r="I13" i="27"/>
  <c r="K156" i="26"/>
  <c r="J156" i="26"/>
  <c r="I156" i="26"/>
  <c r="K135" i="26"/>
  <c r="J135" i="26"/>
  <c r="I135" i="26"/>
  <c r="K113" i="26"/>
  <c r="J113" i="26"/>
  <c r="I113" i="26"/>
  <c r="K92" i="26"/>
  <c r="J92" i="26"/>
  <c r="I92" i="26"/>
  <c r="K97" i="27"/>
  <c r="J97" i="27"/>
  <c r="I97" i="27"/>
  <c r="K72" i="27"/>
  <c r="J72" i="27"/>
  <c r="I72" i="27"/>
  <c r="K67" i="27"/>
  <c r="J67" i="27"/>
  <c r="I67" i="27"/>
  <c r="K59" i="27"/>
  <c r="J59" i="27"/>
  <c r="I59" i="27"/>
  <c r="K52" i="27"/>
  <c r="J52" i="27"/>
  <c r="I52" i="27"/>
  <c r="K44" i="27"/>
  <c r="J44" i="27"/>
  <c r="I44" i="27"/>
  <c r="K125" i="26"/>
  <c r="J125" i="26"/>
  <c r="I125" i="26"/>
  <c r="K154" i="27"/>
  <c r="J154" i="27"/>
  <c r="I154" i="27"/>
  <c r="K128" i="27"/>
  <c r="J128" i="27"/>
  <c r="I128" i="27"/>
  <c r="K121" i="27"/>
  <c r="J121" i="27"/>
  <c r="I121" i="27"/>
  <c r="K75" i="27"/>
  <c r="J75" i="27"/>
  <c r="I75" i="27"/>
  <c r="K27" i="27"/>
  <c r="J27" i="27"/>
  <c r="I27" i="27"/>
  <c r="K149" i="26"/>
  <c r="J149" i="26"/>
  <c r="I149" i="26"/>
  <c r="K127" i="26"/>
  <c r="J127" i="26"/>
  <c r="I127" i="26"/>
  <c r="L58" i="24"/>
  <c r="L56" i="24"/>
  <c r="L54" i="24"/>
  <c r="L59" i="24"/>
  <c r="L57" i="24"/>
  <c r="L55" i="24"/>
  <c r="L53" i="24"/>
  <c r="L80" i="25"/>
  <c r="L78" i="25"/>
  <c r="L76" i="25"/>
  <c r="L59" i="25"/>
  <c r="L35" i="25"/>
  <c r="L75" i="25"/>
  <c r="L37" i="25"/>
  <c r="L54" i="25"/>
  <c r="L56" i="25"/>
  <c r="L77" i="25"/>
  <c r="L30" i="25"/>
  <c r="L58" i="25"/>
  <c r="L32" i="25"/>
  <c r="L34" i="25"/>
  <c r="L36" i="25"/>
  <c r="L79" i="25"/>
  <c r="L53" i="25"/>
  <c r="L31" i="25"/>
  <c r="L57" i="25"/>
  <c r="L55" i="25"/>
  <c r="L33" i="25"/>
  <c r="L81" i="25"/>
  <c r="I73" i="25"/>
  <c r="L74" i="25" s="1"/>
  <c r="G7" i="25"/>
  <c r="J8" i="25" s="1"/>
  <c r="I51" i="25"/>
  <c r="L52" i="25" s="1"/>
  <c r="I29" i="25"/>
  <c r="J157" i="22"/>
  <c r="L157" i="22"/>
  <c r="K157" i="22"/>
  <c r="J146" i="22"/>
  <c r="L146" i="22"/>
  <c r="K146" i="22"/>
  <c r="I77" i="22"/>
  <c r="L69" i="22"/>
  <c r="K69" i="22"/>
  <c r="J69" i="22"/>
  <c r="L61" i="22"/>
  <c r="K61" i="22"/>
  <c r="J61" i="22"/>
  <c r="L40" i="22"/>
  <c r="K40" i="22"/>
  <c r="J40" i="22"/>
  <c r="J101" i="22"/>
  <c r="L101" i="22"/>
  <c r="K101" i="22"/>
  <c r="J80" i="22"/>
  <c r="L80" i="22"/>
  <c r="K80" i="22"/>
  <c r="J86" i="24"/>
  <c r="J81" i="24"/>
  <c r="J79" i="24"/>
  <c r="J77" i="24"/>
  <c r="J75" i="24"/>
  <c r="J83" i="24"/>
  <c r="J85" i="24"/>
  <c r="J82" i="24"/>
  <c r="J80" i="24"/>
  <c r="J78" i="24"/>
  <c r="J76" i="24"/>
  <c r="J84" i="24"/>
  <c r="G161" i="24"/>
  <c r="G227" i="24"/>
  <c r="G183" i="24"/>
  <c r="G139" i="24"/>
  <c r="G205" i="24"/>
  <c r="G95" i="24"/>
  <c r="G117" i="24"/>
  <c r="G51" i="24"/>
  <c r="E7" i="24"/>
  <c r="H8" i="24" s="1"/>
  <c r="G253" i="24"/>
  <c r="G73" i="24"/>
  <c r="G29" i="24"/>
  <c r="J63" i="24"/>
  <c r="J65" i="24"/>
  <c r="J60" i="24"/>
  <c r="J58" i="24"/>
  <c r="J56" i="24"/>
  <c r="J54" i="24"/>
  <c r="J62" i="24"/>
  <c r="J64" i="24"/>
  <c r="J87" i="24"/>
  <c r="J59" i="24"/>
  <c r="J57" i="24"/>
  <c r="J55" i="24"/>
  <c r="J53" i="24"/>
  <c r="J61" i="24"/>
  <c r="J131" i="22"/>
  <c r="L131" i="22"/>
  <c r="K131" i="22"/>
  <c r="K52" i="22"/>
  <c r="J52" i="22"/>
  <c r="L52" i="22"/>
  <c r="L42" i="22"/>
  <c r="K42" i="22"/>
  <c r="J42" i="22"/>
  <c r="R15" i="21"/>
  <c r="Q15" i="21"/>
  <c r="L127" i="22"/>
  <c r="K127" i="22"/>
  <c r="J127" i="22"/>
  <c r="L95" i="22"/>
  <c r="K95" i="22"/>
  <c r="J95" i="22"/>
  <c r="L9" i="22"/>
  <c r="K9" i="22"/>
  <c r="J9" i="22"/>
  <c r="L68" i="22"/>
  <c r="K68" i="22"/>
  <c r="J68" i="22"/>
  <c r="L70" i="22"/>
  <c r="K70" i="22"/>
  <c r="J70" i="22"/>
  <c r="L72" i="22"/>
  <c r="K72" i="22"/>
  <c r="J72" i="22"/>
  <c r="L74" i="22"/>
  <c r="K74" i="22"/>
  <c r="J74" i="22"/>
  <c r="L76" i="22"/>
  <c r="K76" i="22"/>
  <c r="J76" i="22"/>
  <c r="L79" i="22"/>
  <c r="K79" i="22"/>
  <c r="J79" i="22"/>
  <c r="L81" i="22"/>
  <c r="K81" i="22"/>
  <c r="J81" i="22"/>
  <c r="L83" i="22"/>
  <c r="K83" i="22"/>
  <c r="I91" i="22"/>
  <c r="J83" i="22"/>
  <c r="L85" i="22"/>
  <c r="K85" i="22"/>
  <c r="J85" i="22"/>
  <c r="L87" i="22"/>
  <c r="K87" i="22"/>
  <c r="J87" i="22"/>
  <c r="L89" i="22"/>
  <c r="K89" i="22"/>
  <c r="J89" i="22"/>
  <c r="L94" i="22"/>
  <c r="K94" i="22"/>
  <c r="J94" i="22"/>
  <c r="L96" i="22"/>
  <c r="K96" i="22"/>
  <c r="J96" i="22"/>
  <c r="L98" i="22"/>
  <c r="K98" i="22"/>
  <c r="J98" i="22"/>
  <c r="L100" i="22"/>
  <c r="K100" i="22"/>
  <c r="J100" i="22"/>
  <c r="L102" i="22"/>
  <c r="K102" i="22"/>
  <c r="J102" i="22"/>
  <c r="L104" i="22"/>
  <c r="K104" i="22"/>
  <c r="J104" i="22"/>
  <c r="L107" i="22"/>
  <c r="K107" i="22"/>
  <c r="J107" i="22"/>
  <c r="L109" i="22"/>
  <c r="K109" i="22"/>
  <c r="J109" i="22"/>
  <c r="L111" i="22"/>
  <c r="K111" i="22"/>
  <c r="I119" i="22"/>
  <c r="J111" i="22"/>
  <c r="L113" i="22"/>
  <c r="K113" i="22"/>
  <c r="J113" i="22"/>
  <c r="L115" i="22"/>
  <c r="K115" i="22"/>
  <c r="J115" i="22"/>
  <c r="L117" i="22"/>
  <c r="K117" i="22"/>
  <c r="J117" i="22"/>
  <c r="L122" i="22"/>
  <c r="K122" i="22"/>
  <c r="J122" i="22"/>
  <c r="L124" i="22"/>
  <c r="K124" i="22"/>
  <c r="J124" i="22"/>
  <c r="L126" i="22"/>
  <c r="K126" i="22"/>
  <c r="J126" i="22"/>
  <c r="L128" i="22"/>
  <c r="K128" i="22"/>
  <c r="J128" i="22"/>
  <c r="L130" i="22"/>
  <c r="K130" i="22"/>
  <c r="J130" i="22"/>
  <c r="L132" i="22"/>
  <c r="K132" i="22"/>
  <c r="J132" i="22"/>
  <c r="L135" i="22"/>
  <c r="K135" i="22"/>
  <c r="J135" i="22"/>
  <c r="L137" i="22"/>
  <c r="K137" i="22"/>
  <c r="J137" i="22"/>
  <c r="L139" i="22"/>
  <c r="K139" i="22"/>
  <c r="I147" i="22"/>
  <c r="J139" i="22"/>
  <c r="L141" i="22"/>
  <c r="K141" i="22"/>
  <c r="J141" i="22"/>
  <c r="L143" i="22"/>
  <c r="K143" i="22"/>
  <c r="J143" i="22"/>
  <c r="L145" i="22"/>
  <c r="K145" i="22"/>
  <c r="J145" i="22"/>
  <c r="L150" i="22"/>
  <c r="K150" i="22"/>
  <c r="J150" i="22"/>
  <c r="L152" i="22"/>
  <c r="K152" i="22"/>
  <c r="J152" i="22"/>
  <c r="L154" i="22"/>
  <c r="K154" i="22"/>
  <c r="J154" i="22"/>
  <c r="L156" i="22"/>
  <c r="K156" i="22"/>
  <c r="J156" i="22"/>
  <c r="L158" i="22"/>
  <c r="K158" i="22"/>
  <c r="J158" i="22"/>
  <c r="L160" i="22"/>
  <c r="K160" i="22"/>
  <c r="J160" i="22"/>
  <c r="J136" i="22"/>
  <c r="L136" i="22"/>
  <c r="K136" i="22"/>
  <c r="L71" i="22"/>
  <c r="K71" i="22"/>
  <c r="J71" i="22"/>
  <c r="L66" i="22"/>
  <c r="K66" i="22"/>
  <c r="J66" i="22"/>
  <c r="L54" i="22"/>
  <c r="K54" i="22"/>
  <c r="J54" i="22"/>
  <c r="L44" i="22"/>
  <c r="K44" i="22"/>
  <c r="J44" i="22"/>
  <c r="L10" i="22"/>
  <c r="K10" i="22"/>
  <c r="J10" i="22"/>
  <c r="R12" i="21"/>
  <c r="Q12" i="21"/>
  <c r="L116" i="22"/>
  <c r="K116" i="22"/>
  <c r="J116" i="22"/>
  <c r="L110" i="22"/>
  <c r="K110" i="22"/>
  <c r="J110" i="22"/>
  <c r="L88" i="22"/>
  <c r="K88" i="22"/>
  <c r="J88" i="22"/>
  <c r="L11" i="22"/>
  <c r="K11" i="22"/>
  <c r="J11" i="22"/>
  <c r="J140" i="22"/>
  <c r="L140" i="22"/>
  <c r="K140" i="22"/>
  <c r="L123" i="22"/>
  <c r="K123" i="22"/>
  <c r="J123" i="22"/>
  <c r="L56" i="22"/>
  <c r="K56" i="22"/>
  <c r="J56" i="22"/>
  <c r="L46" i="22"/>
  <c r="K46" i="22"/>
  <c r="J46" i="22"/>
  <c r="L34" i="22"/>
  <c r="K34" i="22"/>
  <c r="J34" i="22"/>
  <c r="L32" i="22"/>
  <c r="K32" i="22"/>
  <c r="J32" i="22"/>
  <c r="L30" i="22"/>
  <c r="K30" i="22"/>
  <c r="J30" i="22"/>
  <c r="L28" i="22"/>
  <c r="K28" i="22"/>
  <c r="J28" i="22"/>
  <c r="L26" i="22"/>
  <c r="K26" i="22"/>
  <c r="J26" i="22"/>
  <c r="L24" i="22"/>
  <c r="K24" i="22"/>
  <c r="J24" i="22"/>
  <c r="R19" i="21"/>
  <c r="Q19" i="21"/>
  <c r="L103" i="22"/>
  <c r="K103" i="22"/>
  <c r="J103" i="22"/>
  <c r="L82" i="22"/>
  <c r="K82" i="22"/>
  <c r="J82" i="22"/>
  <c r="J155" i="22"/>
  <c r="L155" i="22"/>
  <c r="K155" i="22"/>
  <c r="J144" i="22"/>
  <c r="L144" i="22"/>
  <c r="K144" i="22"/>
  <c r="L73" i="22"/>
  <c r="K73" i="22"/>
  <c r="J73" i="22"/>
  <c r="L58" i="22"/>
  <c r="K58" i="22"/>
  <c r="J58" i="22"/>
  <c r="L48" i="22"/>
  <c r="K48" i="22"/>
  <c r="J48" i="22"/>
  <c r="L97" i="22"/>
  <c r="K97" i="22"/>
  <c r="J97" i="22"/>
  <c r="I105" i="22"/>
  <c r="L60" i="22"/>
  <c r="K60" i="22"/>
  <c r="J60" i="22"/>
  <c r="L51" i="22"/>
  <c r="K51" i="22"/>
  <c r="J51" i="22"/>
  <c r="L39" i="22"/>
  <c r="K39" i="22"/>
  <c r="J39" i="22"/>
  <c r="L112" i="22"/>
  <c r="K112" i="22"/>
  <c r="J112" i="22"/>
  <c r="L90" i="22"/>
  <c r="K90" i="22"/>
  <c r="J90" i="22"/>
  <c r="J149" i="22"/>
  <c r="L149" i="22"/>
  <c r="K149" i="22"/>
  <c r="L129" i="22"/>
  <c r="K129" i="22"/>
  <c r="J129" i="22"/>
  <c r="L118" i="22"/>
  <c r="K118" i="22"/>
  <c r="J118" i="22"/>
  <c r="L75" i="22"/>
  <c r="K75" i="22"/>
  <c r="J75" i="22"/>
  <c r="J159" i="22"/>
  <c r="L159" i="22"/>
  <c r="K159" i="22"/>
  <c r="L84" i="22"/>
  <c r="K84" i="22"/>
  <c r="J84" i="22"/>
  <c r="I141" i="21"/>
  <c r="H141" i="21"/>
  <c r="I83" i="21"/>
  <c r="H83" i="21"/>
  <c r="I55" i="21"/>
  <c r="H55" i="21"/>
  <c r="V12" i="22"/>
  <c r="X12" i="22"/>
  <c r="W12" i="22"/>
  <c r="H131" i="21"/>
  <c r="I131" i="21"/>
  <c r="I74" i="21"/>
  <c r="H74" i="21"/>
  <c r="H30" i="21"/>
  <c r="I30" i="21"/>
  <c r="I119" i="21"/>
  <c r="H119" i="21"/>
  <c r="I91" i="21"/>
  <c r="H91" i="21"/>
  <c r="I48" i="21"/>
  <c r="H48" i="21"/>
  <c r="I12" i="21"/>
  <c r="H12" i="21"/>
  <c r="I10" i="21"/>
  <c r="H10" i="21"/>
  <c r="X20" i="22"/>
  <c r="W20" i="22"/>
  <c r="V20" i="22"/>
  <c r="X19" i="22"/>
  <c r="W19" i="22"/>
  <c r="V19" i="22"/>
  <c r="X18" i="22"/>
  <c r="W18" i="22"/>
  <c r="V18" i="22"/>
  <c r="W17" i="22"/>
  <c r="V17" i="22"/>
  <c r="X17" i="22"/>
  <c r="V16" i="22"/>
  <c r="X16" i="22"/>
  <c r="W16" i="22"/>
  <c r="X15" i="22"/>
  <c r="W15" i="22"/>
  <c r="V15" i="22"/>
  <c r="I110" i="21"/>
  <c r="H110" i="21"/>
  <c r="I24" i="21"/>
  <c r="H24" i="21"/>
  <c r="G50" i="21"/>
  <c r="I42" i="21"/>
  <c r="H42" i="21"/>
  <c r="I159" i="21"/>
  <c r="H159" i="21"/>
  <c r="I73" i="21"/>
  <c r="H73" i="21"/>
  <c r="I67" i="21"/>
  <c r="H67" i="21"/>
  <c r="I60" i="21"/>
  <c r="H60" i="21"/>
  <c r="I20" i="21"/>
  <c r="H20" i="21"/>
  <c r="I150" i="21"/>
  <c r="H150" i="21"/>
  <c r="H98" i="21"/>
  <c r="I98" i="21"/>
  <c r="G106" i="21"/>
  <c r="I82" i="21"/>
  <c r="H82" i="21"/>
  <c r="I53" i="21"/>
  <c r="H53" i="21"/>
  <c r="I138" i="21"/>
  <c r="H138" i="21"/>
  <c r="I128" i="21"/>
  <c r="H128" i="21"/>
  <c r="I40" i="21"/>
  <c r="H40" i="21"/>
  <c r="I116" i="21"/>
  <c r="H116" i="21"/>
  <c r="I58" i="21"/>
  <c r="H58" i="21"/>
  <c r="I19" i="21"/>
  <c r="H19" i="21"/>
  <c r="I88" i="21"/>
  <c r="H88" i="21"/>
  <c r="I33" i="21"/>
  <c r="H33" i="21"/>
  <c r="I52" i="21"/>
  <c r="H52" i="21"/>
  <c r="I16" i="21"/>
  <c r="H16" i="21"/>
  <c r="I80" i="21"/>
  <c r="H80" i="21"/>
  <c r="I101" i="21"/>
  <c r="H101" i="21"/>
  <c r="I123" i="21"/>
  <c r="H123" i="21"/>
  <c r="I144" i="21"/>
  <c r="H144" i="21"/>
  <c r="I104" i="21"/>
  <c r="H104" i="21"/>
  <c r="I126" i="21"/>
  <c r="H126" i="21"/>
  <c r="G134" i="21"/>
  <c r="I147" i="21"/>
  <c r="H147" i="21"/>
  <c r="I86" i="21"/>
  <c r="H86" i="21"/>
  <c r="I108" i="21"/>
  <c r="H108" i="21"/>
  <c r="I129" i="21"/>
  <c r="H129" i="21"/>
  <c r="I151" i="21"/>
  <c r="H151" i="21"/>
  <c r="H25" i="21"/>
  <c r="I25" i="21"/>
  <c r="H46" i="21"/>
  <c r="I46" i="21"/>
  <c r="H68" i="21"/>
  <c r="I68" i="21"/>
  <c r="I89" i="21"/>
  <c r="H89" i="21"/>
  <c r="I111" i="21"/>
  <c r="H111" i="21"/>
  <c r="I132" i="21"/>
  <c r="H132" i="21"/>
  <c r="I154" i="21"/>
  <c r="H154" i="21"/>
  <c r="G162" i="21"/>
  <c r="I28" i="21"/>
  <c r="H28" i="21"/>
  <c r="G36" i="21"/>
  <c r="I49" i="21"/>
  <c r="H49" i="21"/>
  <c r="I71" i="21"/>
  <c r="H71" i="21"/>
  <c r="I114" i="21"/>
  <c r="H114" i="21"/>
  <c r="I136" i="21"/>
  <c r="H136" i="21"/>
  <c r="I157" i="21"/>
  <c r="H157" i="21"/>
  <c r="I96" i="21"/>
  <c r="H96" i="21"/>
  <c r="I117" i="21"/>
  <c r="H117" i="21"/>
  <c r="I139" i="21"/>
  <c r="H139" i="21"/>
  <c r="I160" i="21"/>
  <c r="H160" i="21"/>
  <c r="I18" i="21"/>
  <c r="H18" i="21"/>
  <c r="I34" i="21"/>
  <c r="H34" i="21"/>
  <c r="I56" i="21"/>
  <c r="H56" i="21"/>
  <c r="G64" i="21"/>
  <c r="I77" i="21"/>
  <c r="H77" i="21"/>
  <c r="I99" i="21"/>
  <c r="H99" i="21"/>
  <c r="I142" i="21"/>
  <c r="H142" i="21"/>
  <c r="I38" i="21"/>
  <c r="H38" i="21"/>
  <c r="I59" i="21"/>
  <c r="H59" i="21"/>
  <c r="I81" i="21"/>
  <c r="H81" i="21"/>
  <c r="I102" i="21"/>
  <c r="H102" i="21"/>
  <c r="I124" i="21"/>
  <c r="H124" i="21"/>
  <c r="I145" i="21"/>
  <c r="H145" i="21"/>
  <c r="I11" i="21"/>
  <c r="H11" i="21"/>
  <c r="I21" i="21"/>
  <c r="H21" i="21"/>
  <c r="I41" i="21"/>
  <c r="H41" i="21"/>
  <c r="I62" i="21"/>
  <c r="H62" i="21"/>
  <c r="I84" i="21"/>
  <c r="H84" i="21"/>
  <c r="G92" i="21"/>
  <c r="I105" i="21"/>
  <c r="H105" i="21"/>
  <c r="I127" i="21"/>
  <c r="H127" i="21"/>
  <c r="I44" i="21"/>
  <c r="H44" i="21"/>
  <c r="I66" i="21"/>
  <c r="H66" i="21"/>
  <c r="I87" i="21"/>
  <c r="H87" i="21"/>
  <c r="I109" i="21"/>
  <c r="H109" i="21"/>
  <c r="I130" i="21"/>
  <c r="H130" i="21"/>
  <c r="I152" i="21"/>
  <c r="H152" i="21"/>
  <c r="I14" i="21"/>
  <c r="H14" i="21"/>
  <c r="G22" i="21"/>
  <c r="I26" i="21"/>
  <c r="H26" i="21"/>
  <c r="I47" i="21"/>
  <c r="H47" i="21"/>
  <c r="I69" i="21"/>
  <c r="H69" i="21"/>
  <c r="I90" i="21"/>
  <c r="H90" i="21"/>
  <c r="I112" i="21"/>
  <c r="H112" i="21"/>
  <c r="G120" i="21"/>
  <c r="I133" i="21"/>
  <c r="H133" i="21"/>
  <c r="I155" i="21"/>
  <c r="H155" i="21"/>
  <c r="I29" i="21"/>
  <c r="H29" i="21"/>
  <c r="I72" i="21"/>
  <c r="H72" i="21"/>
  <c r="I94" i="21"/>
  <c r="H94" i="21"/>
  <c r="I115" i="21"/>
  <c r="H115" i="21"/>
  <c r="I137" i="21"/>
  <c r="H137" i="21"/>
  <c r="I158" i="21"/>
  <c r="H158" i="21"/>
  <c r="H17" i="21"/>
  <c r="I17" i="21"/>
  <c r="H32" i="21"/>
  <c r="I32" i="21"/>
  <c r="H54" i="21"/>
  <c r="I54" i="21"/>
  <c r="H75" i="21"/>
  <c r="I75" i="21"/>
  <c r="H97" i="21"/>
  <c r="I97" i="21"/>
  <c r="H118" i="21"/>
  <c r="I118" i="21"/>
  <c r="H140" i="21"/>
  <c r="G148" i="21"/>
  <c r="I140" i="21"/>
  <c r="H161" i="21"/>
  <c r="I161" i="21"/>
  <c r="I35" i="21"/>
  <c r="H35" i="21"/>
  <c r="I57" i="21"/>
  <c r="H57" i="21"/>
  <c r="I100" i="21"/>
  <c r="H100" i="21"/>
  <c r="I122" i="21"/>
  <c r="H122" i="21"/>
  <c r="I143" i="21"/>
  <c r="H143" i="21"/>
  <c r="I27" i="21"/>
  <c r="H27" i="21"/>
  <c r="I146" i="21"/>
  <c r="H146" i="21"/>
  <c r="I45" i="21"/>
  <c r="H45" i="21"/>
  <c r="J142" i="19"/>
  <c r="I142" i="19"/>
  <c r="H142" i="19"/>
  <c r="J69" i="19"/>
  <c r="I69" i="19"/>
  <c r="G77" i="19"/>
  <c r="H69" i="19"/>
  <c r="J47" i="19"/>
  <c r="I47" i="19"/>
  <c r="H47" i="19"/>
  <c r="Y39" i="19"/>
  <c r="X39" i="19"/>
  <c r="X31" i="19"/>
  <c r="Y31" i="19"/>
  <c r="H87" i="19"/>
  <c r="J87" i="19"/>
  <c r="I87" i="19"/>
  <c r="Y84" i="19"/>
  <c r="X84" i="19"/>
  <c r="X67" i="19"/>
  <c r="Y67" i="19"/>
  <c r="I46" i="19"/>
  <c r="H46" i="19"/>
  <c r="J46" i="19"/>
  <c r="Y145" i="19"/>
  <c r="X145" i="19"/>
  <c r="I59" i="19"/>
  <c r="J59" i="19"/>
  <c r="H59" i="19"/>
  <c r="J152" i="19"/>
  <c r="I152" i="19"/>
  <c r="H152" i="19"/>
  <c r="J130" i="19"/>
  <c r="I130" i="19"/>
  <c r="H130" i="19"/>
  <c r="Y126" i="19"/>
  <c r="X126" i="19"/>
  <c r="Y115" i="19"/>
  <c r="X115" i="19"/>
  <c r="J103" i="19"/>
  <c r="I103" i="19"/>
  <c r="H103" i="19"/>
  <c r="W93" i="19"/>
  <c r="Y94" i="19"/>
  <c r="X94" i="19"/>
  <c r="Y86" i="19"/>
  <c r="X86" i="19"/>
  <c r="J61" i="19"/>
  <c r="I61" i="19"/>
  <c r="H61" i="19"/>
  <c r="J60" i="19"/>
  <c r="I60" i="19"/>
  <c r="H60" i="19"/>
  <c r="J45" i="19"/>
  <c r="I45" i="19"/>
  <c r="H45" i="19"/>
  <c r="Y38" i="19"/>
  <c r="X38" i="19"/>
  <c r="W37" i="19"/>
  <c r="Y30" i="19"/>
  <c r="X30" i="19"/>
  <c r="J29" i="19"/>
  <c r="I29" i="19"/>
  <c r="H29" i="19"/>
  <c r="Y25" i="19"/>
  <c r="X25" i="19"/>
  <c r="J24" i="19"/>
  <c r="I24" i="19"/>
  <c r="H24" i="19"/>
  <c r="G23" i="19"/>
  <c r="Y19" i="19"/>
  <c r="X19" i="19"/>
  <c r="J18" i="19"/>
  <c r="I18" i="19"/>
  <c r="H18" i="19"/>
  <c r="Y14" i="19"/>
  <c r="X14" i="19"/>
  <c r="J13" i="19"/>
  <c r="I13" i="19"/>
  <c r="H13" i="19"/>
  <c r="G21" i="19"/>
  <c r="J115" i="19"/>
  <c r="I115" i="19"/>
  <c r="H115" i="19"/>
  <c r="J126" i="19"/>
  <c r="I126" i="19"/>
  <c r="H126" i="19"/>
  <c r="J131" i="19"/>
  <c r="I131" i="19"/>
  <c r="H131" i="19"/>
  <c r="J159" i="19"/>
  <c r="I159" i="19"/>
  <c r="H159" i="19"/>
  <c r="J143" i="19"/>
  <c r="I143" i="19"/>
  <c r="H143" i="19"/>
  <c r="J146" i="19"/>
  <c r="I146" i="19"/>
  <c r="H146" i="19"/>
  <c r="J144" i="19"/>
  <c r="I144" i="19"/>
  <c r="H144" i="19"/>
  <c r="I62" i="19"/>
  <c r="H62" i="19"/>
  <c r="J62" i="19"/>
  <c r="I68" i="19"/>
  <c r="H68" i="19"/>
  <c r="J68" i="19"/>
  <c r="I73" i="19"/>
  <c r="H73" i="19"/>
  <c r="J73" i="19"/>
  <c r="J84" i="19"/>
  <c r="I84" i="19"/>
  <c r="H84" i="19"/>
  <c r="J89" i="19"/>
  <c r="I89" i="19"/>
  <c r="H89" i="19"/>
  <c r="J95" i="19"/>
  <c r="I95" i="19"/>
  <c r="H95" i="19"/>
  <c r="J100" i="19"/>
  <c r="I100" i="19"/>
  <c r="H100" i="19"/>
  <c r="J111" i="19"/>
  <c r="I111" i="19"/>
  <c r="H111" i="19"/>
  <c r="G119" i="19"/>
  <c r="J116" i="19"/>
  <c r="I116" i="19"/>
  <c r="H116" i="19"/>
  <c r="J122" i="19"/>
  <c r="I122" i="19"/>
  <c r="H122" i="19"/>
  <c r="G121" i="19"/>
  <c r="J127" i="19"/>
  <c r="I127" i="19"/>
  <c r="H127" i="19"/>
  <c r="J132" i="19"/>
  <c r="I132" i="19"/>
  <c r="H132" i="19"/>
  <c r="J158" i="19"/>
  <c r="I158" i="19"/>
  <c r="H158" i="19"/>
  <c r="J90" i="19"/>
  <c r="I90" i="19"/>
  <c r="H90" i="19"/>
  <c r="J96" i="19"/>
  <c r="I96" i="19"/>
  <c r="H96" i="19"/>
  <c r="J101" i="19"/>
  <c r="I101" i="19"/>
  <c r="H101" i="19"/>
  <c r="J112" i="19"/>
  <c r="I112" i="19"/>
  <c r="H112" i="19"/>
  <c r="J117" i="19"/>
  <c r="I117" i="19"/>
  <c r="H117" i="19"/>
  <c r="J123" i="19"/>
  <c r="I123" i="19"/>
  <c r="H123" i="19"/>
  <c r="J128" i="19"/>
  <c r="I128" i="19"/>
  <c r="H128" i="19"/>
  <c r="J154" i="19"/>
  <c r="I154" i="19"/>
  <c r="H154" i="19"/>
  <c r="J157" i="19"/>
  <c r="I157" i="19"/>
  <c r="H157" i="19"/>
  <c r="G135" i="19"/>
  <c r="J136" i="19"/>
  <c r="I136" i="19"/>
  <c r="H136" i="19"/>
  <c r="J137" i="19"/>
  <c r="I137" i="19"/>
  <c r="H137" i="19"/>
  <c r="I70" i="19"/>
  <c r="H70" i="19"/>
  <c r="J70" i="19"/>
  <c r="I75" i="19"/>
  <c r="H75" i="19"/>
  <c r="J75" i="19"/>
  <c r="I81" i="19"/>
  <c r="H81" i="19"/>
  <c r="J81" i="19"/>
  <c r="I86" i="19"/>
  <c r="H86" i="19"/>
  <c r="J86" i="19"/>
  <c r="I97" i="19"/>
  <c r="H97" i="19"/>
  <c r="G105" i="19"/>
  <c r="J97" i="19"/>
  <c r="I102" i="19"/>
  <c r="H102" i="19"/>
  <c r="J102" i="19"/>
  <c r="I108" i="19"/>
  <c r="H108" i="19"/>
  <c r="G107" i="19"/>
  <c r="J108" i="19"/>
  <c r="I113" i="19"/>
  <c r="H113" i="19"/>
  <c r="J113" i="19"/>
  <c r="I118" i="19"/>
  <c r="H118" i="19"/>
  <c r="J118" i="19"/>
  <c r="I124" i="19"/>
  <c r="H124" i="19"/>
  <c r="J124" i="19"/>
  <c r="I129" i="19"/>
  <c r="H129" i="19"/>
  <c r="J129" i="19"/>
  <c r="G161" i="19"/>
  <c r="I153" i="19"/>
  <c r="H153" i="19"/>
  <c r="J153" i="19"/>
  <c r="H138" i="19"/>
  <c r="J138" i="19"/>
  <c r="I138" i="19"/>
  <c r="J150" i="19"/>
  <c r="I150" i="19"/>
  <c r="H150" i="19"/>
  <c r="G149" i="19"/>
  <c r="J155" i="19"/>
  <c r="I155" i="19"/>
  <c r="H155" i="19"/>
  <c r="J160" i="19"/>
  <c r="I160" i="19"/>
  <c r="H160" i="19"/>
  <c r="J140" i="19"/>
  <c r="I140" i="19"/>
  <c r="H140" i="19"/>
  <c r="J145" i="19"/>
  <c r="I145" i="19"/>
  <c r="H145" i="19"/>
  <c r="J151" i="19"/>
  <c r="I151" i="19"/>
  <c r="H151" i="19"/>
  <c r="I156" i="19"/>
  <c r="H156" i="19"/>
  <c r="J156" i="19"/>
  <c r="Y48" i="19"/>
  <c r="X48" i="19"/>
  <c r="F149" i="19"/>
  <c r="F147" i="19"/>
  <c r="F161" i="19"/>
  <c r="F107" i="19"/>
  <c r="F105" i="19"/>
  <c r="F135" i="19"/>
  <c r="F79" i="19"/>
  <c r="F121" i="19"/>
  <c r="F119" i="19"/>
  <c r="F77" i="19"/>
  <c r="F23" i="19"/>
  <c r="F21" i="19"/>
  <c r="E7" i="19"/>
  <c r="F93" i="19"/>
  <c r="F65" i="19"/>
  <c r="F63" i="19"/>
  <c r="F49" i="19"/>
  <c r="F35" i="19"/>
  <c r="F133" i="19"/>
  <c r="F51" i="19"/>
  <c r="F91" i="19"/>
  <c r="F37" i="19"/>
  <c r="F9" i="19"/>
  <c r="Y132" i="19"/>
  <c r="X132" i="19"/>
  <c r="W119" i="19"/>
  <c r="Y111" i="19"/>
  <c r="X111" i="19"/>
  <c r="J94" i="19"/>
  <c r="I94" i="19"/>
  <c r="H94" i="19"/>
  <c r="G93" i="19"/>
  <c r="Y88" i="19"/>
  <c r="X88" i="19"/>
  <c r="Y68" i="19"/>
  <c r="X68" i="19"/>
  <c r="G65" i="19"/>
  <c r="J66" i="19"/>
  <c r="I66" i="19"/>
  <c r="H66" i="19"/>
  <c r="I57" i="19"/>
  <c r="J57" i="19"/>
  <c r="H57" i="19"/>
  <c r="Y47" i="19"/>
  <c r="X47" i="19"/>
  <c r="J44" i="19"/>
  <c r="I44" i="19"/>
  <c r="H44" i="19"/>
  <c r="I43" i="19"/>
  <c r="J43" i="19"/>
  <c r="H43" i="19"/>
  <c r="Y144" i="19"/>
  <c r="X144" i="19"/>
  <c r="J141" i="19"/>
  <c r="I141" i="19"/>
  <c r="H141" i="19"/>
  <c r="J109" i="19"/>
  <c r="I109" i="19"/>
  <c r="H109" i="19"/>
  <c r="Y99" i="19"/>
  <c r="X99" i="19"/>
  <c r="J80" i="19"/>
  <c r="I80" i="19"/>
  <c r="H80" i="19"/>
  <c r="G79" i="19"/>
  <c r="J56" i="19"/>
  <c r="I56" i="19"/>
  <c r="H56" i="19"/>
  <c r="Y46" i="19"/>
  <c r="X46" i="19"/>
  <c r="Y29" i="19"/>
  <c r="X29" i="19"/>
  <c r="Y24" i="19"/>
  <c r="X24" i="19"/>
  <c r="W23" i="19"/>
  <c r="Y18" i="19"/>
  <c r="X18" i="19"/>
  <c r="Y13" i="19"/>
  <c r="X13" i="19"/>
  <c r="W21" i="19"/>
  <c r="Y116" i="19"/>
  <c r="X116" i="19"/>
  <c r="Y122" i="19"/>
  <c r="X122" i="19"/>
  <c r="W121" i="19"/>
  <c r="Y127" i="19"/>
  <c r="X127" i="19"/>
  <c r="Y150" i="19"/>
  <c r="X150" i="19"/>
  <c r="W149" i="19"/>
  <c r="W161" i="19"/>
  <c r="Y153" i="19"/>
  <c r="X153" i="19"/>
  <c r="Y69" i="19"/>
  <c r="X69" i="19"/>
  <c r="W77" i="19"/>
  <c r="Y74" i="19"/>
  <c r="X74" i="19"/>
  <c r="Y80" i="19"/>
  <c r="X80" i="19"/>
  <c r="W79" i="19"/>
  <c r="Y85" i="19"/>
  <c r="X85" i="19"/>
  <c r="Y90" i="19"/>
  <c r="X90" i="19"/>
  <c r="Y96" i="19"/>
  <c r="X96" i="19"/>
  <c r="Y101" i="19"/>
  <c r="X101" i="19"/>
  <c r="Y112" i="19"/>
  <c r="X112" i="19"/>
  <c r="Y117" i="19"/>
  <c r="X117" i="19"/>
  <c r="Y123" i="19"/>
  <c r="X123" i="19"/>
  <c r="Y128" i="19"/>
  <c r="X128" i="19"/>
  <c r="Y160" i="19"/>
  <c r="X160" i="19"/>
  <c r="Y137" i="19"/>
  <c r="X137" i="19"/>
  <c r="Y138" i="19"/>
  <c r="X138" i="19"/>
  <c r="Y97" i="19"/>
  <c r="X97" i="19"/>
  <c r="W105" i="19"/>
  <c r="Y102" i="19"/>
  <c r="X102" i="19"/>
  <c r="Y108" i="19"/>
  <c r="X108" i="19"/>
  <c r="W107" i="19"/>
  <c r="Y113" i="19"/>
  <c r="X113" i="19"/>
  <c r="Y118" i="19"/>
  <c r="X118" i="19"/>
  <c r="Y124" i="19"/>
  <c r="X124" i="19"/>
  <c r="Y129" i="19"/>
  <c r="X129" i="19"/>
  <c r="Y159" i="19"/>
  <c r="X159" i="19"/>
  <c r="Y139" i="19"/>
  <c r="X139" i="19"/>
  <c r="W147" i="19"/>
  <c r="Y140" i="19"/>
  <c r="X140" i="19"/>
  <c r="Y60" i="19"/>
  <c r="X60" i="19"/>
  <c r="Y66" i="19"/>
  <c r="X66" i="19"/>
  <c r="W65" i="19"/>
  <c r="Y71" i="19"/>
  <c r="X71" i="19"/>
  <c r="Y76" i="19"/>
  <c r="X76" i="19"/>
  <c r="Y82" i="19"/>
  <c r="X82" i="19"/>
  <c r="Y87" i="19"/>
  <c r="X87" i="19"/>
  <c r="Y98" i="19"/>
  <c r="X98" i="19"/>
  <c r="Y103" i="19"/>
  <c r="X103" i="19"/>
  <c r="Y109" i="19"/>
  <c r="X109" i="19"/>
  <c r="Y114" i="19"/>
  <c r="X114" i="19"/>
  <c r="Y125" i="19"/>
  <c r="X125" i="19"/>
  <c r="W133" i="19"/>
  <c r="Y130" i="19"/>
  <c r="X130" i="19"/>
  <c r="Y155" i="19"/>
  <c r="X155" i="19"/>
  <c r="Y158" i="19"/>
  <c r="X158" i="19"/>
  <c r="X142" i="19"/>
  <c r="Y142" i="19"/>
  <c r="Y151" i="19"/>
  <c r="X151" i="19"/>
  <c r="Y156" i="19"/>
  <c r="X156" i="19"/>
  <c r="Y136" i="19"/>
  <c r="X136" i="19"/>
  <c r="W135" i="19"/>
  <c r="Y141" i="19"/>
  <c r="X141" i="19"/>
  <c r="Y146" i="19"/>
  <c r="X146" i="19"/>
  <c r="Y152" i="19"/>
  <c r="X152" i="19"/>
  <c r="X157" i="19"/>
  <c r="Y157" i="19"/>
  <c r="J42" i="19"/>
  <c r="I42" i="19"/>
  <c r="H42" i="19"/>
  <c r="V135" i="19"/>
  <c r="V133" i="19"/>
  <c r="V65" i="19"/>
  <c r="V147" i="19"/>
  <c r="V107" i="19"/>
  <c r="V105" i="19"/>
  <c r="V79" i="19"/>
  <c r="V51" i="19"/>
  <c r="V9" i="19"/>
  <c r="V93" i="19"/>
  <c r="V37" i="19"/>
  <c r="V149" i="19"/>
  <c r="V121" i="19"/>
  <c r="V119" i="19"/>
  <c r="V23" i="19"/>
  <c r="V21" i="19"/>
  <c r="U7" i="19"/>
  <c r="V77" i="19"/>
  <c r="V91" i="19"/>
  <c r="V63" i="19"/>
  <c r="V35" i="19"/>
  <c r="V161" i="19"/>
  <c r="V49" i="19"/>
  <c r="J99" i="19"/>
  <c r="I99" i="19"/>
  <c r="H99" i="19"/>
  <c r="I88" i="19"/>
  <c r="H88" i="19"/>
  <c r="J88" i="19"/>
  <c r="J82" i="19"/>
  <c r="I82" i="19"/>
  <c r="H82" i="19"/>
  <c r="J67" i="19"/>
  <c r="I67" i="19"/>
  <c r="H67" i="19"/>
  <c r="Y58" i="19"/>
  <c r="X58" i="19"/>
  <c r="J55" i="19"/>
  <c r="I55" i="19"/>
  <c r="H55" i="19"/>
  <c r="G63" i="19"/>
  <c r="Y45" i="19"/>
  <c r="X45" i="19"/>
  <c r="I54" i="19"/>
  <c r="J54" i="19"/>
  <c r="H54" i="19"/>
  <c r="Y44" i="19"/>
  <c r="X44" i="19"/>
  <c r="J41" i="19"/>
  <c r="I41" i="19"/>
  <c r="H41" i="19"/>
  <c r="G49" i="19"/>
  <c r="J33" i="19"/>
  <c r="I33" i="19"/>
  <c r="H33" i="19"/>
  <c r="Y104" i="19"/>
  <c r="X104" i="19"/>
  <c r="Y81" i="19"/>
  <c r="X81" i="19"/>
  <c r="Y57" i="19"/>
  <c r="X57" i="19"/>
  <c r="Y28" i="19"/>
  <c r="X28" i="19"/>
  <c r="Y17" i="19"/>
  <c r="X17" i="19"/>
  <c r="Y12" i="19"/>
  <c r="X12" i="19"/>
  <c r="Y43" i="19"/>
  <c r="X43" i="19"/>
  <c r="Y34" i="19"/>
  <c r="X34" i="19"/>
  <c r="Y143" i="19"/>
  <c r="X143" i="19"/>
  <c r="Y55" i="19"/>
  <c r="W63" i="19"/>
  <c r="X55" i="19"/>
  <c r="Y33" i="19"/>
  <c r="X33" i="19"/>
  <c r="Y100" i="19"/>
  <c r="X100" i="19"/>
  <c r="Y70" i="19"/>
  <c r="X70" i="19"/>
  <c r="Y62" i="19"/>
  <c r="X62" i="19"/>
  <c r="Y53" i="19"/>
  <c r="X53" i="19"/>
  <c r="J139" i="19"/>
  <c r="I139" i="19"/>
  <c r="H139" i="19"/>
  <c r="G147" i="19"/>
  <c r="I98" i="19"/>
  <c r="H98" i="19"/>
  <c r="J98" i="19"/>
  <c r="Y75" i="19"/>
  <c r="X75" i="19"/>
  <c r="Y73" i="19"/>
  <c r="X73" i="19"/>
  <c r="W51" i="19"/>
  <c r="Y52" i="19"/>
  <c r="X52" i="19"/>
  <c r="Q74" i="19"/>
  <c r="P74" i="19"/>
  <c r="R128" i="19"/>
  <c r="Q128" i="19"/>
  <c r="P128" i="19"/>
  <c r="Q72" i="19"/>
  <c r="P72" i="19"/>
  <c r="Q47" i="19"/>
  <c r="P47" i="19"/>
  <c r="Q28" i="19"/>
  <c r="P28" i="19"/>
  <c r="Q34" i="19"/>
  <c r="R34" i="19"/>
  <c r="P34" i="19"/>
  <c r="Q43" i="19"/>
  <c r="P43" i="19"/>
  <c r="Q57" i="19"/>
  <c r="P57" i="19"/>
  <c r="R57" i="19"/>
  <c r="Q44" i="19"/>
  <c r="P44" i="19"/>
  <c r="Q58" i="19"/>
  <c r="P58" i="19"/>
  <c r="Q61" i="19"/>
  <c r="P61" i="19"/>
  <c r="O77" i="19"/>
  <c r="R69" i="19"/>
  <c r="P69" i="19"/>
  <c r="Q69" i="19"/>
  <c r="R85" i="19"/>
  <c r="Q85" i="19"/>
  <c r="P85" i="19"/>
  <c r="P160" i="19"/>
  <c r="Q160" i="19"/>
  <c r="Q46" i="19"/>
  <c r="P46" i="19"/>
  <c r="Q136" i="19"/>
  <c r="P136" i="19"/>
  <c r="O135" i="19"/>
  <c r="Q14" i="19"/>
  <c r="P14" i="19"/>
  <c r="Q19" i="19"/>
  <c r="P19" i="19"/>
  <c r="R25" i="19"/>
  <c r="Q25" i="19"/>
  <c r="P25" i="19"/>
  <c r="R30" i="19"/>
  <c r="Q30" i="19"/>
  <c r="P30" i="19"/>
  <c r="Q38" i="19"/>
  <c r="P38" i="19"/>
  <c r="O37" i="19"/>
  <c r="Q48" i="19"/>
  <c r="P48" i="19"/>
  <c r="Q96" i="19"/>
  <c r="P96" i="19"/>
  <c r="Q90" i="19"/>
  <c r="P90" i="19"/>
  <c r="R108" i="19"/>
  <c r="Q108" i="19"/>
  <c r="P108" i="19"/>
  <c r="O107" i="19"/>
  <c r="R31" i="19"/>
  <c r="Q31" i="19"/>
  <c r="P31" i="19"/>
  <c r="Q39" i="19"/>
  <c r="P39" i="19"/>
  <c r="R10" i="19"/>
  <c r="Q10" i="19"/>
  <c r="P10" i="19"/>
  <c r="O9" i="19"/>
  <c r="R47" i="19" s="1"/>
  <c r="Q15" i="19"/>
  <c r="P15" i="19"/>
  <c r="R20" i="19"/>
  <c r="Q20" i="19"/>
  <c r="P20" i="19"/>
  <c r="R26" i="19"/>
  <c r="Q26" i="19"/>
  <c r="P26" i="19"/>
  <c r="R88" i="19"/>
  <c r="Q88" i="19"/>
  <c r="P88" i="19"/>
  <c r="Q52" i="19"/>
  <c r="R52" i="19"/>
  <c r="P52" i="19"/>
  <c r="O51" i="19"/>
  <c r="R32" i="19"/>
  <c r="Q32" i="19"/>
  <c r="P32" i="19"/>
  <c r="R40" i="19"/>
  <c r="Q40" i="19"/>
  <c r="P40" i="19"/>
  <c r="R53" i="19"/>
  <c r="Q53" i="19"/>
  <c r="P53" i="19"/>
  <c r="O79" i="19"/>
  <c r="R80" i="19"/>
  <c r="Q80" i="19"/>
  <c r="P80" i="19"/>
  <c r="Q86" i="19"/>
  <c r="P86" i="19"/>
  <c r="R86" i="19"/>
  <c r="R102" i="19"/>
  <c r="Q102" i="19"/>
  <c r="P102" i="19"/>
  <c r="R137" i="19"/>
  <c r="Q137" i="19"/>
  <c r="P137" i="19"/>
  <c r="R157" i="19"/>
  <c r="Q157" i="19"/>
  <c r="P157" i="19"/>
  <c r="R67" i="19"/>
  <c r="Q67" i="19"/>
  <c r="P67" i="19"/>
  <c r="R11" i="19"/>
  <c r="Q11" i="19"/>
  <c r="P11" i="19"/>
  <c r="R16" i="19"/>
  <c r="Q16" i="19"/>
  <c r="P16" i="19"/>
  <c r="R27" i="19"/>
  <c r="Q27" i="19"/>
  <c r="P27" i="19"/>
  <c r="O35" i="19"/>
  <c r="R54" i="19"/>
  <c r="Q54" i="19"/>
  <c r="P54" i="19"/>
  <c r="R112" i="19"/>
  <c r="Q112" i="19"/>
  <c r="P112" i="19"/>
  <c r="R123" i="19"/>
  <c r="Q123" i="19"/>
  <c r="P123" i="19"/>
  <c r="Q33" i="19"/>
  <c r="P33" i="19"/>
  <c r="R33" i="19"/>
  <c r="Q41" i="19"/>
  <c r="R41" i="19"/>
  <c r="P41" i="19"/>
  <c r="O49" i="19"/>
  <c r="P42" i="19"/>
  <c r="R42" i="19"/>
  <c r="Q42" i="19"/>
  <c r="Q55" i="19"/>
  <c r="P55" i="19"/>
  <c r="O63" i="19"/>
  <c r="R55" i="19"/>
  <c r="Q70" i="19"/>
  <c r="P70" i="19"/>
  <c r="R70" i="19"/>
  <c r="Q75" i="19"/>
  <c r="P75" i="19"/>
  <c r="R75" i="19"/>
  <c r="O105" i="19"/>
  <c r="R97" i="19"/>
  <c r="Q97" i="19"/>
  <c r="P97" i="19"/>
  <c r="R56" i="19"/>
  <c r="Q56" i="19"/>
  <c r="P56" i="19"/>
  <c r="R113" i="19"/>
  <c r="Q113" i="19"/>
  <c r="P113" i="19"/>
  <c r="R118" i="19"/>
  <c r="Q118" i="19"/>
  <c r="P118" i="19"/>
  <c r="R124" i="19"/>
  <c r="Q124" i="19"/>
  <c r="P124" i="19"/>
  <c r="R129" i="19"/>
  <c r="Q129" i="19"/>
  <c r="P129" i="19"/>
  <c r="R156" i="19"/>
  <c r="Q156" i="19"/>
  <c r="P156" i="19"/>
  <c r="O147" i="19"/>
  <c r="R139" i="19"/>
  <c r="Q139" i="19"/>
  <c r="P139" i="19"/>
  <c r="R140" i="19"/>
  <c r="Q140" i="19"/>
  <c r="P140" i="19"/>
  <c r="Q66" i="19"/>
  <c r="P66" i="19"/>
  <c r="R66" i="19"/>
  <c r="O65" i="19"/>
  <c r="Q71" i="19"/>
  <c r="P71" i="19"/>
  <c r="R71" i="19"/>
  <c r="R76" i="19"/>
  <c r="Q76" i="19"/>
  <c r="P76" i="19"/>
  <c r="R82" i="19"/>
  <c r="Q82" i="19"/>
  <c r="P82" i="19"/>
  <c r="R87" i="19"/>
  <c r="Q87" i="19"/>
  <c r="P87" i="19"/>
  <c r="R98" i="19"/>
  <c r="Q98" i="19"/>
  <c r="P98" i="19"/>
  <c r="R103" i="19"/>
  <c r="Q103" i="19"/>
  <c r="P103" i="19"/>
  <c r="R109" i="19"/>
  <c r="Q109" i="19"/>
  <c r="P109" i="19"/>
  <c r="R114" i="19"/>
  <c r="Q114" i="19"/>
  <c r="P114" i="19"/>
  <c r="O133" i="19"/>
  <c r="R125" i="19"/>
  <c r="Q125" i="19"/>
  <c r="P125" i="19"/>
  <c r="R130" i="19"/>
  <c r="Q130" i="19"/>
  <c r="P130" i="19"/>
  <c r="R152" i="19"/>
  <c r="Q152" i="19"/>
  <c r="P152" i="19"/>
  <c r="R155" i="19"/>
  <c r="Q155" i="19"/>
  <c r="P155" i="19"/>
  <c r="R141" i="19"/>
  <c r="Q141" i="19"/>
  <c r="P141" i="19"/>
  <c r="R142" i="19"/>
  <c r="Q142" i="19"/>
  <c r="P142" i="19"/>
  <c r="R94" i="19"/>
  <c r="Q94" i="19"/>
  <c r="P94" i="19"/>
  <c r="O93" i="19"/>
  <c r="R99" i="19"/>
  <c r="Q99" i="19"/>
  <c r="P99" i="19"/>
  <c r="R104" i="19"/>
  <c r="Q104" i="19"/>
  <c r="P104" i="19"/>
  <c r="R110" i="19"/>
  <c r="Q110" i="19"/>
  <c r="P110" i="19"/>
  <c r="R115" i="19"/>
  <c r="Q115" i="19"/>
  <c r="P115" i="19"/>
  <c r="R126" i="19"/>
  <c r="Q126" i="19"/>
  <c r="P126" i="19"/>
  <c r="R131" i="19"/>
  <c r="Q131" i="19"/>
  <c r="P131" i="19"/>
  <c r="R151" i="19"/>
  <c r="Q151" i="19"/>
  <c r="P151" i="19"/>
  <c r="R144" i="19"/>
  <c r="Q144" i="19"/>
  <c r="P144" i="19"/>
  <c r="R145" i="19"/>
  <c r="Q145" i="19"/>
  <c r="P145" i="19"/>
  <c r="R146" i="19"/>
  <c r="P146" i="19"/>
  <c r="Q146" i="19"/>
  <c r="Q62" i="19"/>
  <c r="P62" i="19"/>
  <c r="R62" i="19"/>
  <c r="Q68" i="19"/>
  <c r="P68" i="19"/>
  <c r="R68" i="19"/>
  <c r="Q73" i="19"/>
  <c r="P73" i="19"/>
  <c r="R73" i="19"/>
  <c r="Q84" i="19"/>
  <c r="P84" i="19"/>
  <c r="R84" i="19"/>
  <c r="Q89" i="19"/>
  <c r="P89" i="19"/>
  <c r="R89" i="19"/>
  <c r="Q95" i="19"/>
  <c r="P95" i="19"/>
  <c r="R95" i="19"/>
  <c r="Q100" i="19"/>
  <c r="P100" i="19"/>
  <c r="R100" i="19"/>
  <c r="Q111" i="19"/>
  <c r="P111" i="19"/>
  <c r="O119" i="19"/>
  <c r="R111" i="19"/>
  <c r="Q116" i="19"/>
  <c r="P116" i="19"/>
  <c r="R116" i="19"/>
  <c r="Q122" i="19"/>
  <c r="P122" i="19"/>
  <c r="O121" i="19"/>
  <c r="R122" i="19"/>
  <c r="Q127" i="19"/>
  <c r="P127" i="19"/>
  <c r="R127" i="19"/>
  <c r="O149" i="19"/>
  <c r="Q150" i="19"/>
  <c r="P150" i="19"/>
  <c r="R150" i="19"/>
  <c r="R153" i="19"/>
  <c r="Q153" i="19"/>
  <c r="P153" i="19"/>
  <c r="O161" i="19"/>
  <c r="R158" i="19"/>
  <c r="Q158" i="19"/>
  <c r="P158" i="19"/>
  <c r="R132" i="19"/>
  <c r="Q132" i="19"/>
  <c r="P132" i="19"/>
  <c r="R138" i="19"/>
  <c r="Q138" i="19"/>
  <c r="P138" i="19"/>
  <c r="R143" i="19"/>
  <c r="Q143" i="19"/>
  <c r="P143" i="19"/>
  <c r="R154" i="19"/>
  <c r="Q154" i="19"/>
  <c r="P154" i="19"/>
  <c r="R159" i="19"/>
  <c r="Q159" i="19"/>
  <c r="P159" i="19"/>
  <c r="R101" i="19"/>
  <c r="P101" i="19"/>
  <c r="Q101" i="19"/>
  <c r="Q60" i="19"/>
  <c r="P60" i="19"/>
  <c r="R60" i="19"/>
  <c r="R83" i="19"/>
  <c r="Q83" i="19"/>
  <c r="P83" i="19"/>
  <c r="O91" i="19"/>
  <c r="Q81" i="19"/>
  <c r="P81" i="19"/>
  <c r="R81" i="19"/>
  <c r="Y107" i="18"/>
  <c r="W106" i="18"/>
  <c r="X107" i="18"/>
  <c r="J89" i="18"/>
  <c r="I89" i="18"/>
  <c r="X84" i="18"/>
  <c r="J115" i="18"/>
  <c r="I115" i="18"/>
  <c r="J94" i="18"/>
  <c r="I94" i="18"/>
  <c r="X88" i="18"/>
  <c r="I57" i="18"/>
  <c r="J57" i="18"/>
  <c r="X51" i="18"/>
  <c r="W50" i="18"/>
  <c r="I27" i="18"/>
  <c r="J27" i="18"/>
  <c r="I160" i="17"/>
  <c r="K160" i="17"/>
  <c r="J160" i="17"/>
  <c r="K129" i="17"/>
  <c r="J129" i="17"/>
  <c r="I129" i="17"/>
  <c r="H107" i="17"/>
  <c r="K108" i="17"/>
  <c r="J108" i="17"/>
  <c r="I108" i="17"/>
  <c r="K86" i="17"/>
  <c r="J86" i="17"/>
  <c r="I86" i="17"/>
  <c r="K43" i="17"/>
  <c r="J43" i="17"/>
  <c r="I43" i="17"/>
  <c r="X114" i="18"/>
  <c r="J69" i="18"/>
  <c r="I69" i="18"/>
  <c r="Y65" i="18"/>
  <c r="X65" i="18"/>
  <c r="W64" i="18"/>
  <c r="Y42" i="18"/>
  <c r="X42" i="18"/>
  <c r="X23" i="18"/>
  <c r="W22" i="18"/>
  <c r="I141" i="17"/>
  <c r="K141" i="17"/>
  <c r="J141" i="17"/>
  <c r="I98" i="17"/>
  <c r="K98" i="17"/>
  <c r="J98" i="17"/>
  <c r="I76" i="17"/>
  <c r="K76" i="17"/>
  <c r="J76" i="17"/>
  <c r="I55" i="17"/>
  <c r="H63" i="17"/>
  <c r="K55" i="17"/>
  <c r="J55" i="17"/>
  <c r="X93" i="18"/>
  <c r="W92" i="18"/>
  <c r="X37" i="18"/>
  <c r="W36" i="18"/>
  <c r="I29" i="18"/>
  <c r="J29" i="18"/>
  <c r="X24" i="18"/>
  <c r="J131" i="17"/>
  <c r="I131" i="17"/>
  <c r="K131" i="17"/>
  <c r="J110" i="17"/>
  <c r="I110" i="17"/>
  <c r="K110" i="17"/>
  <c r="J88" i="17"/>
  <c r="I88" i="17"/>
  <c r="K88" i="17"/>
  <c r="J67" i="17"/>
  <c r="I67" i="17"/>
  <c r="K67" i="17"/>
  <c r="J45" i="17"/>
  <c r="I45" i="17"/>
  <c r="K45" i="17"/>
  <c r="J24" i="17"/>
  <c r="I24" i="17"/>
  <c r="K24" i="17"/>
  <c r="H23" i="17"/>
  <c r="X145" i="18"/>
  <c r="J112" i="18"/>
  <c r="I112" i="18"/>
  <c r="X70" i="18"/>
  <c r="K122" i="17"/>
  <c r="J122" i="17"/>
  <c r="I122" i="17"/>
  <c r="H121" i="17"/>
  <c r="K100" i="17"/>
  <c r="J100" i="17"/>
  <c r="I100" i="17"/>
  <c r="K57" i="17"/>
  <c r="J57" i="17"/>
  <c r="I57" i="17"/>
  <c r="M161" i="19"/>
  <c r="M79" i="19"/>
  <c r="M77" i="19"/>
  <c r="M149" i="19"/>
  <c r="M121" i="19"/>
  <c r="M119" i="19"/>
  <c r="M93" i="19"/>
  <c r="M91" i="19"/>
  <c r="M133" i="19"/>
  <c r="M105" i="19"/>
  <c r="M63" i="19"/>
  <c r="M49" i="19"/>
  <c r="M35" i="19"/>
  <c r="M51" i="19"/>
  <c r="M9" i="19"/>
  <c r="M107" i="19"/>
  <c r="M135" i="19"/>
  <c r="M65" i="19"/>
  <c r="M21" i="19"/>
  <c r="M23" i="19"/>
  <c r="L7" i="19"/>
  <c r="M147" i="19"/>
  <c r="M37" i="19"/>
  <c r="X38" i="18"/>
  <c r="I30" i="18"/>
  <c r="J30" i="18"/>
  <c r="X25" i="18"/>
  <c r="J84" i="18"/>
  <c r="I84" i="18"/>
  <c r="J122" i="18"/>
  <c r="I122" i="18"/>
  <c r="J99" i="18"/>
  <c r="I99" i="18"/>
  <c r="H120" i="18"/>
  <c r="J121" i="18"/>
  <c r="I121" i="18"/>
  <c r="J137" i="18"/>
  <c r="I137" i="18"/>
  <c r="H148" i="18"/>
  <c r="J149" i="18"/>
  <c r="I149" i="18"/>
  <c r="J85" i="18"/>
  <c r="I85" i="18"/>
  <c r="J107" i="18"/>
  <c r="I107" i="18"/>
  <c r="H106" i="18"/>
  <c r="J157" i="18"/>
  <c r="I157" i="18"/>
  <c r="J71" i="18"/>
  <c r="I71" i="18"/>
  <c r="J93" i="18"/>
  <c r="I93" i="18"/>
  <c r="H92" i="18"/>
  <c r="J114" i="18"/>
  <c r="I114" i="18"/>
  <c r="J143" i="18"/>
  <c r="I143" i="18"/>
  <c r="I79" i="18"/>
  <c r="H78" i="18"/>
  <c r="J79" i="18"/>
  <c r="I100" i="18"/>
  <c r="J100" i="18"/>
  <c r="J129" i="18"/>
  <c r="I129" i="18"/>
  <c r="J65" i="18"/>
  <c r="H64" i="18"/>
  <c r="I65" i="18"/>
  <c r="J86" i="18"/>
  <c r="I86" i="18"/>
  <c r="J108" i="18"/>
  <c r="I108" i="18"/>
  <c r="J151" i="18"/>
  <c r="I151" i="18"/>
  <c r="J153" i="18"/>
  <c r="I153" i="18"/>
  <c r="J136" i="18"/>
  <c r="I136" i="18"/>
  <c r="J37" i="18"/>
  <c r="H36" i="18"/>
  <c r="I37" i="18"/>
  <c r="J58" i="18"/>
  <c r="I58" i="18"/>
  <c r="J80" i="18"/>
  <c r="I80" i="18"/>
  <c r="J101" i="18"/>
  <c r="I101" i="18"/>
  <c r="J125" i="18"/>
  <c r="I125" i="18"/>
  <c r="J109" i="18"/>
  <c r="I109" i="18"/>
  <c r="J139" i="18"/>
  <c r="I139" i="18"/>
  <c r="J142" i="18"/>
  <c r="I142" i="18"/>
  <c r="J52" i="18"/>
  <c r="I52" i="18"/>
  <c r="J73" i="18"/>
  <c r="I73" i="18"/>
  <c r="J95" i="18"/>
  <c r="I95" i="18"/>
  <c r="J116" i="18"/>
  <c r="I116" i="18"/>
  <c r="J128" i="18"/>
  <c r="I128" i="18"/>
  <c r="J145" i="18"/>
  <c r="I145" i="18"/>
  <c r="J16" i="18"/>
  <c r="I16" i="18"/>
  <c r="J38" i="18"/>
  <c r="I38" i="18"/>
  <c r="J59" i="18"/>
  <c r="I59" i="18"/>
  <c r="J81" i="18"/>
  <c r="I81" i="18"/>
  <c r="J102" i="18"/>
  <c r="I102" i="18"/>
  <c r="J45" i="18"/>
  <c r="I45" i="18"/>
  <c r="J67" i="18"/>
  <c r="I67" i="18"/>
  <c r="J88" i="18"/>
  <c r="I88" i="18"/>
  <c r="H118" i="18"/>
  <c r="J110" i="18"/>
  <c r="I110" i="18"/>
  <c r="H132" i="18"/>
  <c r="J124" i="18"/>
  <c r="I124" i="18"/>
  <c r="J131" i="18"/>
  <c r="I131" i="18"/>
  <c r="H134" i="18"/>
  <c r="J135" i="18"/>
  <c r="I135" i="18"/>
  <c r="J156" i="18"/>
  <c r="I156" i="18"/>
  <c r="I10" i="18"/>
  <c r="J10" i="18"/>
  <c r="I31" i="18"/>
  <c r="J31" i="18"/>
  <c r="I53" i="18"/>
  <c r="J53" i="18"/>
  <c r="I74" i="18"/>
  <c r="J74" i="18"/>
  <c r="I96" i="18"/>
  <c r="H104" i="18"/>
  <c r="J96" i="18"/>
  <c r="J117" i="18"/>
  <c r="I117" i="18"/>
  <c r="J17" i="18"/>
  <c r="I17" i="18"/>
  <c r="J39" i="18"/>
  <c r="I39" i="18"/>
  <c r="J60" i="18"/>
  <c r="I60" i="18"/>
  <c r="J82" i="18"/>
  <c r="I82" i="18"/>
  <c r="H90" i="18"/>
  <c r="J103" i="18"/>
  <c r="I103" i="18"/>
  <c r="I150" i="18"/>
  <c r="J150" i="18"/>
  <c r="J158" i="18"/>
  <c r="I158" i="18"/>
  <c r="J144" i="18"/>
  <c r="I144" i="18"/>
  <c r="I130" i="18"/>
  <c r="J130" i="18"/>
  <c r="H160" i="18"/>
  <c r="J152" i="18"/>
  <c r="I152" i="18"/>
  <c r="H146" i="18"/>
  <c r="J138" i="18"/>
  <c r="I138" i="18"/>
  <c r="J159" i="18"/>
  <c r="I159" i="18"/>
  <c r="J154" i="18"/>
  <c r="I154" i="18"/>
  <c r="J140" i="18"/>
  <c r="I140" i="18"/>
  <c r="J126" i="18"/>
  <c r="I126" i="18"/>
  <c r="I155" i="18"/>
  <c r="J155" i="18"/>
  <c r="J141" i="18"/>
  <c r="I141" i="18"/>
  <c r="K157" i="17"/>
  <c r="J157" i="17"/>
  <c r="I157" i="17"/>
  <c r="K143" i="17"/>
  <c r="J143" i="17"/>
  <c r="I143" i="17"/>
  <c r="K112" i="17"/>
  <c r="J112" i="17"/>
  <c r="I112" i="17"/>
  <c r="K90" i="17"/>
  <c r="J90" i="17"/>
  <c r="I90" i="17"/>
  <c r="K69" i="17"/>
  <c r="J69" i="17"/>
  <c r="I69" i="17"/>
  <c r="H77" i="17"/>
  <c r="K47" i="17"/>
  <c r="J47" i="17"/>
  <c r="I47" i="17"/>
  <c r="K26" i="17"/>
  <c r="J26" i="17"/>
  <c r="I26" i="17"/>
  <c r="K154" i="17"/>
  <c r="J154" i="17"/>
  <c r="I154" i="17"/>
  <c r="I152" i="17"/>
  <c r="K152" i="17"/>
  <c r="J152" i="17"/>
  <c r="Y52" i="18"/>
  <c r="X52" i="18"/>
  <c r="Y43" i="18"/>
  <c r="X43" i="18"/>
  <c r="K102" i="17"/>
  <c r="J102" i="17"/>
  <c r="I102" i="17"/>
  <c r="K81" i="17"/>
  <c r="J81" i="17"/>
  <c r="I81" i="17"/>
  <c r="K59" i="17"/>
  <c r="J59" i="17"/>
  <c r="I59" i="17"/>
  <c r="X85" i="18"/>
  <c r="X56" i="18"/>
  <c r="Y39" i="18"/>
  <c r="X39" i="18"/>
  <c r="K145" i="17"/>
  <c r="J145" i="17"/>
  <c r="I145" i="17"/>
  <c r="K138" i="17"/>
  <c r="J138" i="17"/>
  <c r="I138" i="17"/>
  <c r="K116" i="17"/>
  <c r="J116" i="17"/>
  <c r="I116" i="17"/>
  <c r="K95" i="17"/>
  <c r="I95" i="17"/>
  <c r="J95" i="17"/>
  <c r="K73" i="17"/>
  <c r="J73" i="17"/>
  <c r="I73" i="17"/>
  <c r="K52" i="17"/>
  <c r="I52" i="17"/>
  <c r="H51" i="17"/>
  <c r="J52" i="17"/>
  <c r="K30" i="17"/>
  <c r="J30" i="17"/>
  <c r="I30" i="17"/>
  <c r="X108" i="18"/>
  <c r="J61" i="18"/>
  <c r="I61" i="18"/>
  <c r="I51" i="18"/>
  <c r="H50" i="18"/>
  <c r="J51" i="18"/>
  <c r="X27" i="18"/>
  <c r="I159" i="17"/>
  <c r="K159" i="17"/>
  <c r="J159" i="17"/>
  <c r="I151" i="17"/>
  <c r="K151" i="17"/>
  <c r="J151" i="17"/>
  <c r="I128" i="17"/>
  <c r="K128" i="17"/>
  <c r="J128" i="17"/>
  <c r="I85" i="17"/>
  <c r="K85" i="17"/>
  <c r="J85" i="17"/>
  <c r="I42" i="17"/>
  <c r="K42" i="17"/>
  <c r="J42" i="17"/>
  <c r="X71" i="18"/>
  <c r="X28" i="18"/>
  <c r="J156" i="17"/>
  <c r="K156" i="17"/>
  <c r="I156" i="17"/>
  <c r="J140" i="17"/>
  <c r="I140" i="17"/>
  <c r="K140" i="17"/>
  <c r="X113" i="18"/>
  <c r="Y57" i="18"/>
  <c r="X57" i="18"/>
  <c r="Y29" i="18"/>
  <c r="X29" i="18"/>
  <c r="Y10" i="18"/>
  <c r="X10" i="18"/>
  <c r="X9" i="18"/>
  <c r="W8" i="18"/>
  <c r="Y28" i="18" s="1"/>
  <c r="Y158" i="18"/>
  <c r="X158" i="18"/>
  <c r="Y79" i="18"/>
  <c r="X79" i="18"/>
  <c r="W78" i="18"/>
  <c r="Y100" i="18"/>
  <c r="X100" i="18"/>
  <c r="Y72" i="18"/>
  <c r="X72" i="18"/>
  <c r="X94" i="18"/>
  <c r="Y115" i="18"/>
  <c r="X115" i="18"/>
  <c r="W132" i="18"/>
  <c r="Y124" i="18"/>
  <c r="X124" i="18"/>
  <c r="Y131" i="18"/>
  <c r="X131" i="18"/>
  <c r="W160" i="18"/>
  <c r="Y152" i="18"/>
  <c r="X152" i="18"/>
  <c r="X58" i="18"/>
  <c r="Y58" i="18"/>
  <c r="Y80" i="18"/>
  <c r="X80" i="18"/>
  <c r="Y101" i="18"/>
  <c r="X101" i="18"/>
  <c r="Y117" i="18"/>
  <c r="X117" i="18"/>
  <c r="Y44" i="18"/>
  <c r="X44" i="18"/>
  <c r="Y66" i="18"/>
  <c r="X66" i="18"/>
  <c r="Y87" i="18"/>
  <c r="X87" i="18"/>
  <c r="Y109" i="18"/>
  <c r="X109" i="18"/>
  <c r="W146" i="18"/>
  <c r="Y138" i="18"/>
  <c r="X138" i="18"/>
  <c r="X73" i="18"/>
  <c r="Y73" i="18"/>
  <c r="X95" i="18"/>
  <c r="Y95" i="18"/>
  <c r="X116" i="18"/>
  <c r="Y116" i="18"/>
  <c r="Y144" i="18"/>
  <c r="X144" i="18"/>
  <c r="Y59" i="18"/>
  <c r="X59" i="18"/>
  <c r="Y81" i="18"/>
  <c r="X81" i="18"/>
  <c r="Y102" i="18"/>
  <c r="X102" i="18"/>
  <c r="Y123" i="18"/>
  <c r="X123" i="18"/>
  <c r="Y141" i="18"/>
  <c r="X141" i="18"/>
  <c r="Y31" i="18"/>
  <c r="X31" i="18"/>
  <c r="Y53" i="18"/>
  <c r="X53" i="18"/>
  <c r="Y74" i="18"/>
  <c r="X74" i="18"/>
  <c r="W104" i="18"/>
  <c r="Y96" i="18"/>
  <c r="X96" i="18"/>
  <c r="Y159" i="18"/>
  <c r="X159" i="18"/>
  <c r="Y103" i="18"/>
  <c r="X103" i="18"/>
  <c r="Y137" i="18"/>
  <c r="X137" i="18"/>
  <c r="Y46" i="18"/>
  <c r="X46" i="18"/>
  <c r="W76" i="18"/>
  <c r="Y68" i="18"/>
  <c r="X68" i="18"/>
  <c r="Y89" i="18"/>
  <c r="X89" i="18"/>
  <c r="Y111" i="18"/>
  <c r="X111" i="18"/>
  <c r="Y122" i="18"/>
  <c r="X122" i="18"/>
  <c r="Y151" i="18"/>
  <c r="X151" i="18"/>
  <c r="Y11" i="18"/>
  <c r="X11" i="18"/>
  <c r="Y32" i="18"/>
  <c r="X32" i="18"/>
  <c r="Y54" i="18"/>
  <c r="X54" i="18"/>
  <c r="W62" i="18"/>
  <c r="Y75" i="18"/>
  <c r="X75" i="18"/>
  <c r="Y97" i="18"/>
  <c r="X97" i="18"/>
  <c r="Y140" i="18"/>
  <c r="X140" i="18"/>
  <c r="Y143" i="18"/>
  <c r="X143" i="18"/>
  <c r="Y40" i="18"/>
  <c r="X40" i="18"/>
  <c r="W48" i="18"/>
  <c r="Y61" i="18"/>
  <c r="X61" i="18"/>
  <c r="Y83" i="18"/>
  <c r="X83" i="18"/>
  <c r="Y126" i="18"/>
  <c r="X126" i="18"/>
  <c r="Y129" i="18"/>
  <c r="X129" i="18"/>
  <c r="X26" i="18"/>
  <c r="W34" i="18"/>
  <c r="Y26" i="18"/>
  <c r="X47" i="18"/>
  <c r="Y47" i="18"/>
  <c r="X69" i="18"/>
  <c r="Y69" i="18"/>
  <c r="X112" i="18"/>
  <c r="Y112" i="18"/>
  <c r="W20" i="18"/>
  <c r="Y12" i="18"/>
  <c r="X12" i="18"/>
  <c r="X33" i="18"/>
  <c r="Y33" i="18"/>
  <c r="Y55" i="18"/>
  <c r="X55" i="18"/>
  <c r="Y98" i="18"/>
  <c r="X98" i="18"/>
  <c r="Y153" i="18"/>
  <c r="X153" i="18"/>
  <c r="Y139" i="18"/>
  <c r="X139" i="18"/>
  <c r="X125" i="18"/>
  <c r="Y125" i="18"/>
  <c r="Y154" i="18"/>
  <c r="X154" i="18"/>
  <c r="Y155" i="18"/>
  <c r="X155" i="18"/>
  <c r="Y127" i="18"/>
  <c r="X127" i="18"/>
  <c r="Y149" i="18"/>
  <c r="X149" i="18"/>
  <c r="W148" i="18"/>
  <c r="Y135" i="18"/>
  <c r="X135" i="18"/>
  <c r="W134" i="18"/>
  <c r="Y156" i="18"/>
  <c r="X156" i="18"/>
  <c r="Y121" i="18"/>
  <c r="X121" i="18"/>
  <c r="W120" i="18"/>
  <c r="Y142" i="18"/>
  <c r="X142" i="18"/>
  <c r="X128" i="18"/>
  <c r="Y128" i="18"/>
  <c r="X150" i="18"/>
  <c r="Y150" i="18"/>
  <c r="X136" i="18"/>
  <c r="Y136" i="18"/>
  <c r="Y157" i="18"/>
  <c r="X157" i="18"/>
  <c r="Y30" i="18"/>
  <c r="X30" i="18"/>
  <c r="J123" i="18"/>
  <c r="I123" i="18"/>
  <c r="Y130" i="18"/>
  <c r="X130" i="18"/>
  <c r="Y99" i="18"/>
  <c r="X99" i="18"/>
  <c r="W90" i="18"/>
  <c r="Y82" i="18"/>
  <c r="X82" i="18"/>
  <c r="R131" i="18"/>
  <c r="Q131" i="18"/>
  <c r="Q44" i="18"/>
  <c r="R44" i="18"/>
  <c r="R66" i="18"/>
  <c r="Q66" i="18"/>
  <c r="R126" i="18"/>
  <c r="Q126" i="18"/>
  <c r="R11" i="18"/>
  <c r="Q11" i="18"/>
  <c r="R28" i="18"/>
  <c r="Q28" i="18"/>
  <c r="R53" i="18"/>
  <c r="Q53" i="18"/>
  <c r="R60" i="18"/>
  <c r="Q60" i="18"/>
  <c r="R27" i="18"/>
  <c r="Q27" i="18"/>
  <c r="R39" i="18"/>
  <c r="Q39" i="18"/>
  <c r="R73" i="18"/>
  <c r="Q73" i="18"/>
  <c r="R87" i="18"/>
  <c r="Q87" i="18"/>
  <c r="Q102" i="18"/>
  <c r="R102" i="18"/>
  <c r="R26" i="18"/>
  <c r="P34" i="18"/>
  <c r="Q26" i="18"/>
  <c r="R38" i="18"/>
  <c r="Q38" i="18"/>
  <c r="R52" i="18"/>
  <c r="Q52" i="18"/>
  <c r="R25" i="18"/>
  <c r="Q25" i="18"/>
  <c r="R24" i="18"/>
  <c r="Q24" i="18"/>
  <c r="P36" i="18"/>
  <c r="R37" i="18"/>
  <c r="Q37" i="18"/>
  <c r="R47" i="18"/>
  <c r="Q47" i="18"/>
  <c r="R59" i="18"/>
  <c r="Q59" i="18"/>
  <c r="R95" i="18"/>
  <c r="Q95" i="18"/>
  <c r="P22" i="18"/>
  <c r="R23" i="18"/>
  <c r="Q23" i="18"/>
  <c r="R116" i="18"/>
  <c r="Q116" i="18"/>
  <c r="R128" i="18"/>
  <c r="Q128" i="18"/>
  <c r="P50" i="18"/>
  <c r="R51" i="18"/>
  <c r="Q51" i="18"/>
  <c r="Q81" i="18"/>
  <c r="R81" i="18"/>
  <c r="R70" i="18"/>
  <c r="Q70" i="18"/>
  <c r="R98" i="18"/>
  <c r="Q98" i="18"/>
  <c r="R109" i="18"/>
  <c r="Q109" i="18"/>
  <c r="Q46" i="18"/>
  <c r="R46" i="18"/>
  <c r="Q55" i="18"/>
  <c r="R55" i="18"/>
  <c r="R72" i="18"/>
  <c r="Q72" i="18"/>
  <c r="R58" i="18"/>
  <c r="Q58" i="18"/>
  <c r="Q61" i="18"/>
  <c r="R61" i="18"/>
  <c r="R117" i="18"/>
  <c r="Q117" i="18"/>
  <c r="R154" i="18"/>
  <c r="Q154" i="18"/>
  <c r="Q33" i="18"/>
  <c r="R33" i="18"/>
  <c r="R101" i="18"/>
  <c r="Q101" i="18"/>
  <c r="R15" i="18"/>
  <c r="Q15" i="18"/>
  <c r="R16" i="18"/>
  <c r="Q16" i="18"/>
  <c r="R17" i="18"/>
  <c r="Q17" i="18"/>
  <c r="R18" i="18"/>
  <c r="Q18" i="18"/>
  <c r="R32" i="18"/>
  <c r="Q32" i="18"/>
  <c r="R74" i="18"/>
  <c r="Q74" i="18"/>
  <c r="Q31" i="18"/>
  <c r="R31" i="18"/>
  <c r="Q45" i="18"/>
  <c r="R45" i="18"/>
  <c r="Q67" i="18"/>
  <c r="R67" i="18"/>
  <c r="P104" i="18"/>
  <c r="R96" i="18"/>
  <c r="Q96" i="18"/>
  <c r="R30" i="18"/>
  <c r="Q30" i="18"/>
  <c r="Q94" i="18"/>
  <c r="R94" i="18"/>
  <c r="Q115" i="18"/>
  <c r="R115" i="18"/>
  <c r="R88" i="18"/>
  <c r="Q88" i="18"/>
  <c r="P118" i="18"/>
  <c r="R110" i="18"/>
  <c r="Q110" i="18"/>
  <c r="P90" i="18"/>
  <c r="R82" i="18"/>
  <c r="Q82" i="18"/>
  <c r="R103" i="18"/>
  <c r="Q103" i="18"/>
  <c r="R141" i="18"/>
  <c r="Q141" i="18"/>
  <c r="R68" i="18"/>
  <c r="Q68" i="18"/>
  <c r="P76" i="18"/>
  <c r="R89" i="18"/>
  <c r="Q89" i="18"/>
  <c r="R111" i="18"/>
  <c r="Q111" i="18"/>
  <c r="P62" i="18"/>
  <c r="Q54" i="18"/>
  <c r="R54" i="18"/>
  <c r="R75" i="18"/>
  <c r="Q75" i="18"/>
  <c r="R97" i="18"/>
  <c r="Q97" i="18"/>
  <c r="Q83" i="18"/>
  <c r="R83" i="18"/>
  <c r="R69" i="18"/>
  <c r="Q69" i="18"/>
  <c r="R112" i="18"/>
  <c r="Q112" i="18"/>
  <c r="R140" i="18"/>
  <c r="Q140" i="18"/>
  <c r="R153" i="18"/>
  <c r="Q153" i="18"/>
  <c r="R19" i="18"/>
  <c r="Q19" i="18"/>
  <c r="Q41" i="18"/>
  <c r="R41" i="18"/>
  <c r="R84" i="18"/>
  <c r="Q84" i="18"/>
  <c r="R122" i="18"/>
  <c r="Q122" i="18"/>
  <c r="R113" i="18"/>
  <c r="Q113" i="18"/>
  <c r="R143" i="18"/>
  <c r="Q143" i="18"/>
  <c r="R155" i="18"/>
  <c r="Q155" i="18"/>
  <c r="R56" i="18"/>
  <c r="Q56" i="18"/>
  <c r="R99" i="18"/>
  <c r="Q99" i="18"/>
  <c r="R121" i="18"/>
  <c r="P120" i="18"/>
  <c r="Q121" i="18"/>
  <c r="R129" i="18"/>
  <c r="Q129" i="18"/>
  <c r="R42" i="18"/>
  <c r="Q42" i="18"/>
  <c r="R85" i="18"/>
  <c r="Q85" i="18"/>
  <c r="R107" i="18"/>
  <c r="Q107" i="18"/>
  <c r="P106" i="18"/>
  <c r="R125" i="18"/>
  <c r="Q125" i="18"/>
  <c r="R71" i="18"/>
  <c r="Q71" i="18"/>
  <c r="R93" i="18"/>
  <c r="Q93" i="18"/>
  <c r="P92" i="18"/>
  <c r="R114" i="18"/>
  <c r="Q114" i="18"/>
  <c r="R136" i="18"/>
  <c r="Q136" i="18"/>
  <c r="R139" i="18"/>
  <c r="Q139" i="18"/>
  <c r="Q14" i="18"/>
  <c r="R14" i="18"/>
  <c r="Q57" i="18"/>
  <c r="R57" i="18"/>
  <c r="Q79" i="18"/>
  <c r="P78" i="18"/>
  <c r="R79" i="18"/>
  <c r="Q100" i="18"/>
  <c r="R100" i="18"/>
  <c r="R43" i="18"/>
  <c r="Q43" i="18"/>
  <c r="P64" i="18"/>
  <c r="R65" i="18"/>
  <c r="Q65" i="18"/>
  <c r="R86" i="18"/>
  <c r="Q86" i="18"/>
  <c r="R108" i="18"/>
  <c r="Q108" i="18"/>
  <c r="R127" i="18"/>
  <c r="Q127" i="18"/>
  <c r="R149" i="18"/>
  <c r="Q149" i="18"/>
  <c r="P148" i="18"/>
  <c r="Q135" i="18"/>
  <c r="P134" i="18"/>
  <c r="R135" i="18"/>
  <c r="R156" i="18"/>
  <c r="Q156" i="18"/>
  <c r="Q142" i="18"/>
  <c r="R142" i="18"/>
  <c r="R150" i="18"/>
  <c r="Q150" i="18"/>
  <c r="R157" i="18"/>
  <c r="Q157" i="18"/>
  <c r="R151" i="18"/>
  <c r="Q151" i="18"/>
  <c r="R137" i="18"/>
  <c r="Q137" i="18"/>
  <c r="R158" i="18"/>
  <c r="Q158" i="18"/>
  <c r="R123" i="18"/>
  <c r="Q123" i="18"/>
  <c r="R144" i="18"/>
  <c r="Q144" i="18"/>
  <c r="R130" i="18"/>
  <c r="Q130" i="18"/>
  <c r="R152" i="18"/>
  <c r="Q152" i="18"/>
  <c r="P160" i="18"/>
  <c r="Q138" i="18"/>
  <c r="P146" i="18"/>
  <c r="R138" i="18"/>
  <c r="Q159" i="18"/>
  <c r="R159" i="18"/>
  <c r="P132" i="18"/>
  <c r="R124" i="18"/>
  <c r="Q124" i="18"/>
  <c r="R145" i="18"/>
  <c r="Q145" i="18"/>
  <c r="I95" i="16"/>
  <c r="J95" i="16"/>
  <c r="J19" i="16"/>
  <c r="I19" i="16"/>
  <c r="V14" i="16"/>
  <c r="U14" i="16"/>
  <c r="V11" i="16"/>
  <c r="U11" i="16"/>
  <c r="W11" i="16"/>
  <c r="U17" i="16"/>
  <c r="W17" i="16"/>
  <c r="V17" i="16"/>
  <c r="I10" i="16"/>
  <c r="H9" i="16"/>
  <c r="J10" i="16"/>
  <c r="J87" i="16"/>
  <c r="I87" i="16"/>
  <c r="J75" i="16"/>
  <c r="I75" i="16"/>
  <c r="K75" i="16"/>
  <c r="J43" i="16"/>
  <c r="I43" i="16"/>
  <c r="K43" i="16"/>
  <c r="J40" i="16"/>
  <c r="I40" i="16"/>
  <c r="K40" i="16"/>
  <c r="J13" i="16"/>
  <c r="I13" i="16"/>
  <c r="H21" i="16"/>
  <c r="K13" i="16"/>
  <c r="K26" i="16"/>
  <c r="J26" i="16"/>
  <c r="I26" i="16"/>
  <c r="V10" i="16"/>
  <c r="T9" i="16"/>
  <c r="W10" i="16" s="1"/>
  <c r="U10" i="16"/>
  <c r="V20" i="16"/>
  <c r="U20" i="16"/>
  <c r="V19" i="16"/>
  <c r="U19" i="16"/>
  <c r="V18" i="16"/>
  <c r="U18" i="16"/>
  <c r="K69" i="16"/>
  <c r="J69" i="16"/>
  <c r="I69" i="16"/>
  <c r="H77" i="16"/>
  <c r="K29" i="16"/>
  <c r="J29" i="16"/>
  <c r="I29" i="16"/>
  <c r="K144" i="16"/>
  <c r="J144" i="16"/>
  <c r="I144" i="16"/>
  <c r="K131" i="16"/>
  <c r="J131" i="16"/>
  <c r="I131" i="16"/>
  <c r="K46" i="16"/>
  <c r="J46" i="16"/>
  <c r="I46" i="16"/>
  <c r="K32" i="16"/>
  <c r="J32" i="16"/>
  <c r="I32" i="16"/>
  <c r="U17" i="17"/>
  <c r="V17" i="17"/>
  <c r="W19" i="17"/>
  <c r="U19" i="17"/>
  <c r="V19" i="17"/>
  <c r="T9" i="17"/>
  <c r="W10" i="17" s="1"/>
  <c r="V10" i="17"/>
  <c r="U10" i="17"/>
  <c r="V14" i="17"/>
  <c r="U14" i="17"/>
  <c r="V16" i="17"/>
  <c r="U16" i="17"/>
  <c r="W16" i="17"/>
  <c r="W18" i="17"/>
  <c r="V18" i="17"/>
  <c r="U18" i="17"/>
  <c r="W20" i="17"/>
  <c r="V20" i="17"/>
  <c r="U20" i="17"/>
  <c r="W15" i="17"/>
  <c r="V15" i="17"/>
  <c r="U15" i="17"/>
  <c r="T21" i="17"/>
  <c r="W13" i="17"/>
  <c r="V13" i="17"/>
  <c r="U13" i="17"/>
  <c r="V12" i="17"/>
  <c r="U12" i="17"/>
  <c r="W12" i="17"/>
  <c r="W11" i="17"/>
  <c r="V11" i="17"/>
  <c r="U11" i="17"/>
  <c r="K85" i="16"/>
  <c r="J85" i="16"/>
  <c r="I85" i="16"/>
  <c r="K54" i="16"/>
  <c r="J54" i="16"/>
  <c r="I54" i="16"/>
  <c r="K20" i="16"/>
  <c r="J20" i="16"/>
  <c r="I20" i="16"/>
  <c r="I14" i="16"/>
  <c r="K14" i="16"/>
  <c r="J14" i="16"/>
  <c r="K11" i="16"/>
  <c r="J11" i="16"/>
  <c r="I11" i="16"/>
  <c r="K73" i="16"/>
  <c r="J73" i="16"/>
  <c r="I73" i="16"/>
  <c r="K45" i="16"/>
  <c r="I45" i="16"/>
  <c r="J45" i="16"/>
  <c r="K157" i="16"/>
  <c r="J157" i="16"/>
  <c r="I157" i="16"/>
  <c r="K141" i="16"/>
  <c r="J141" i="16"/>
  <c r="I141" i="16"/>
  <c r="K42" i="16"/>
  <c r="J42" i="16"/>
  <c r="I42" i="16"/>
  <c r="K128" i="16"/>
  <c r="J128" i="16"/>
  <c r="I128" i="16"/>
  <c r="K28" i="16"/>
  <c r="J28" i="16"/>
  <c r="I28" i="16"/>
  <c r="K104" i="16"/>
  <c r="J104" i="16"/>
  <c r="I104" i="16"/>
  <c r="J59" i="16"/>
  <c r="K59" i="16"/>
  <c r="I59" i="16"/>
  <c r="K81" i="16"/>
  <c r="J81" i="16"/>
  <c r="I81" i="16"/>
  <c r="K102" i="16"/>
  <c r="J102" i="16"/>
  <c r="I102" i="16"/>
  <c r="K110" i="16"/>
  <c r="J110" i="16"/>
  <c r="I110" i="16"/>
  <c r="K126" i="16"/>
  <c r="J126" i="16"/>
  <c r="I126" i="16"/>
  <c r="K132" i="16"/>
  <c r="J132" i="16"/>
  <c r="I132" i="16"/>
  <c r="K152" i="16"/>
  <c r="J152" i="16"/>
  <c r="I152" i="16"/>
  <c r="K90" i="16"/>
  <c r="J90" i="16"/>
  <c r="I90" i="16"/>
  <c r="K129" i="16"/>
  <c r="J129" i="16"/>
  <c r="I129" i="16"/>
  <c r="K142" i="16"/>
  <c r="J142" i="16"/>
  <c r="I142" i="16"/>
  <c r="K57" i="16"/>
  <c r="J57" i="16"/>
  <c r="I57" i="16"/>
  <c r="K100" i="16"/>
  <c r="J100" i="16"/>
  <c r="I100" i="16"/>
  <c r="K136" i="16"/>
  <c r="J136" i="16"/>
  <c r="I136" i="16"/>
  <c r="H135" i="16"/>
  <c r="K67" i="16"/>
  <c r="J67" i="16"/>
  <c r="I67" i="16"/>
  <c r="K88" i="16"/>
  <c r="J88" i="16"/>
  <c r="I88" i="16"/>
  <c r="K113" i="16"/>
  <c r="J113" i="16"/>
  <c r="I113" i="16"/>
  <c r="J145" i="16"/>
  <c r="I145" i="16"/>
  <c r="K145" i="16"/>
  <c r="K17" i="16"/>
  <c r="J17" i="16"/>
  <c r="I17" i="16"/>
  <c r="K33" i="16"/>
  <c r="J33" i="16"/>
  <c r="I33" i="16"/>
  <c r="K55" i="16"/>
  <c r="J55" i="16"/>
  <c r="I55" i="16"/>
  <c r="H63" i="16"/>
  <c r="K76" i="16"/>
  <c r="J76" i="16"/>
  <c r="I76" i="16"/>
  <c r="K98" i="16"/>
  <c r="J98" i="16"/>
  <c r="I98" i="16"/>
  <c r="K108" i="16"/>
  <c r="I108" i="16"/>
  <c r="J108" i="16"/>
  <c r="H107" i="16"/>
  <c r="K118" i="16"/>
  <c r="J118" i="16"/>
  <c r="I118" i="16"/>
  <c r="K86" i="16"/>
  <c r="J86" i="16"/>
  <c r="I86" i="16"/>
  <c r="K124" i="16"/>
  <c r="J124" i="16"/>
  <c r="I124" i="16"/>
  <c r="K159" i="16"/>
  <c r="J159" i="16"/>
  <c r="I159" i="16"/>
  <c r="K16" i="16"/>
  <c r="I16" i="16"/>
  <c r="J16" i="16"/>
  <c r="K31" i="16"/>
  <c r="I31" i="16"/>
  <c r="J31" i="16"/>
  <c r="K53" i="16"/>
  <c r="J53" i="16"/>
  <c r="I53" i="16"/>
  <c r="K74" i="16"/>
  <c r="J74" i="16"/>
  <c r="I74" i="16"/>
  <c r="K96" i="16"/>
  <c r="J96" i="16"/>
  <c r="I96" i="16"/>
  <c r="K41" i="16"/>
  <c r="J41" i="16"/>
  <c r="H49" i="16"/>
  <c r="I41" i="16"/>
  <c r="K62" i="16"/>
  <c r="J62" i="16"/>
  <c r="I62" i="16"/>
  <c r="K84" i="16"/>
  <c r="J84" i="16"/>
  <c r="I84" i="16"/>
  <c r="K111" i="16"/>
  <c r="J111" i="16"/>
  <c r="I111" i="16"/>
  <c r="H119" i="16"/>
  <c r="K130" i="16"/>
  <c r="J130" i="16"/>
  <c r="I130" i="16"/>
  <c r="K146" i="16"/>
  <c r="J146" i="16"/>
  <c r="I146" i="16"/>
  <c r="K153" i="16"/>
  <c r="J153" i="16"/>
  <c r="I153" i="16"/>
  <c r="H161" i="16"/>
  <c r="K72" i="16"/>
  <c r="J72" i="16"/>
  <c r="I72" i="16"/>
  <c r="K94" i="16"/>
  <c r="J94" i="16"/>
  <c r="I94" i="16"/>
  <c r="H93" i="16"/>
  <c r="K116" i="16"/>
  <c r="J116" i="16"/>
  <c r="I116" i="16"/>
  <c r="K140" i="16"/>
  <c r="J140" i="16"/>
  <c r="I140" i="16"/>
  <c r="H149" i="16"/>
  <c r="K150" i="16"/>
  <c r="J150" i="16"/>
  <c r="I150" i="16"/>
  <c r="J39" i="16"/>
  <c r="I39" i="16"/>
  <c r="K39" i="16"/>
  <c r="J60" i="16"/>
  <c r="I60" i="16"/>
  <c r="K60" i="16"/>
  <c r="J82" i="16"/>
  <c r="I82" i="16"/>
  <c r="K82" i="16"/>
  <c r="K103" i="16"/>
  <c r="J103" i="16"/>
  <c r="I103" i="16"/>
  <c r="K122" i="16"/>
  <c r="J122" i="16"/>
  <c r="I122" i="16"/>
  <c r="H121" i="16"/>
  <c r="I27" i="16"/>
  <c r="H35" i="16"/>
  <c r="K27" i="16"/>
  <c r="J27" i="16"/>
  <c r="I48" i="16"/>
  <c r="J48" i="16"/>
  <c r="K48" i="16"/>
  <c r="I70" i="16"/>
  <c r="K70" i="16"/>
  <c r="J70" i="16"/>
  <c r="K58" i="16"/>
  <c r="J58" i="16"/>
  <c r="I58" i="16"/>
  <c r="H79" i="16"/>
  <c r="K80" i="16"/>
  <c r="J80" i="16"/>
  <c r="I80" i="16"/>
  <c r="I101" i="16"/>
  <c r="K101" i="16"/>
  <c r="J101" i="16"/>
  <c r="I109" i="16"/>
  <c r="K109" i="16"/>
  <c r="J109" i="16"/>
  <c r="H133" i="16"/>
  <c r="I125" i="16"/>
  <c r="K125" i="16"/>
  <c r="J125" i="16"/>
  <c r="K89" i="16"/>
  <c r="J89" i="16"/>
  <c r="I89" i="16"/>
  <c r="K114" i="16"/>
  <c r="J114" i="16"/>
  <c r="I114" i="16"/>
  <c r="I154" i="16"/>
  <c r="K154" i="16"/>
  <c r="J154" i="16"/>
  <c r="I155" i="16"/>
  <c r="K155" i="16"/>
  <c r="J155" i="16"/>
  <c r="K143" i="16"/>
  <c r="J143" i="16"/>
  <c r="I143" i="16"/>
  <c r="J117" i="16"/>
  <c r="K117" i="16"/>
  <c r="I117" i="16"/>
  <c r="J139" i="16"/>
  <c r="I139" i="16"/>
  <c r="K139" i="16"/>
  <c r="H147" i="16"/>
  <c r="J160" i="16"/>
  <c r="I160" i="16"/>
  <c r="K160" i="16"/>
  <c r="I127" i="16"/>
  <c r="K127" i="16"/>
  <c r="J127" i="16"/>
  <c r="K115" i="16"/>
  <c r="J115" i="16"/>
  <c r="I115" i="16"/>
  <c r="K137" i="16"/>
  <c r="J137" i="16"/>
  <c r="I137" i="16"/>
  <c r="J158" i="16"/>
  <c r="I158" i="16"/>
  <c r="K158" i="16"/>
  <c r="K156" i="16"/>
  <c r="J156" i="16"/>
  <c r="I156" i="16"/>
  <c r="K138" i="16"/>
  <c r="J138" i="16"/>
  <c r="I138" i="16"/>
  <c r="I34" i="16"/>
  <c r="K34" i="16"/>
  <c r="J34" i="16"/>
  <c r="K151" i="16"/>
  <c r="J151" i="16"/>
  <c r="I151" i="16"/>
  <c r="H105" i="16"/>
  <c r="K97" i="16"/>
  <c r="J97" i="16"/>
  <c r="I97" i="16"/>
  <c r="K71" i="16"/>
  <c r="I71" i="16"/>
  <c r="J71" i="16"/>
  <c r="H51" i="16"/>
  <c r="K52" i="16"/>
  <c r="J52" i="16"/>
  <c r="I52" i="16"/>
  <c r="K47" i="16"/>
  <c r="J47" i="16"/>
  <c r="I47" i="16"/>
  <c r="M84" i="15"/>
  <c r="I84" i="15"/>
  <c r="L84" i="15"/>
  <c r="K84" i="15"/>
  <c r="J84" i="15"/>
  <c r="I51" i="15"/>
  <c r="M51" i="15"/>
  <c r="L51" i="15"/>
  <c r="K51" i="15"/>
  <c r="J51" i="15"/>
  <c r="M24" i="15"/>
  <c r="L24" i="15"/>
  <c r="K24" i="15"/>
  <c r="J24" i="15"/>
  <c r="I24" i="15"/>
  <c r="L104" i="15"/>
  <c r="J104" i="15"/>
  <c r="I104" i="15"/>
  <c r="M104" i="15"/>
  <c r="K104" i="15"/>
  <c r="M33" i="15"/>
  <c r="L33" i="15"/>
  <c r="K33" i="15"/>
  <c r="I33" i="15"/>
  <c r="J33" i="15"/>
  <c r="I29" i="15"/>
  <c r="M29" i="15"/>
  <c r="L29" i="15"/>
  <c r="K29" i="15"/>
  <c r="J29" i="15"/>
  <c r="J39" i="15"/>
  <c r="L39" i="15"/>
  <c r="K39" i="15"/>
  <c r="I39" i="15"/>
  <c r="M39" i="15"/>
  <c r="M82" i="15"/>
  <c r="L82" i="15"/>
  <c r="K82" i="15"/>
  <c r="J82" i="15"/>
  <c r="I82" i="15"/>
  <c r="W15" i="13"/>
  <c r="V15" i="13"/>
  <c r="U15" i="13"/>
  <c r="M141" i="15"/>
  <c r="L141" i="15"/>
  <c r="K141" i="15"/>
  <c r="J141" i="15"/>
  <c r="I141" i="15"/>
  <c r="M43" i="15"/>
  <c r="L43" i="15"/>
  <c r="K43" i="15"/>
  <c r="J43" i="15"/>
  <c r="I43" i="15"/>
  <c r="W16" i="13"/>
  <c r="V16" i="13"/>
  <c r="U16" i="13"/>
  <c r="H63" i="15"/>
  <c r="M55" i="15"/>
  <c r="K55" i="15"/>
  <c r="I55" i="15"/>
  <c r="L55" i="15"/>
  <c r="J55" i="15"/>
  <c r="L126" i="15"/>
  <c r="J126" i="15"/>
  <c r="I126" i="15"/>
  <c r="M126" i="15"/>
  <c r="K126" i="15"/>
  <c r="L81" i="15"/>
  <c r="K81" i="15"/>
  <c r="I81" i="15"/>
  <c r="M81" i="15"/>
  <c r="J81" i="15"/>
  <c r="Y19" i="15"/>
  <c r="X19" i="15"/>
  <c r="W19" i="15"/>
  <c r="Y17" i="15"/>
  <c r="X17" i="15"/>
  <c r="W17" i="15"/>
  <c r="Y15" i="15"/>
  <c r="X15" i="15"/>
  <c r="W15" i="15"/>
  <c r="Y13" i="15"/>
  <c r="X13" i="15"/>
  <c r="W13" i="15"/>
  <c r="V21" i="15"/>
  <c r="V17" i="13"/>
  <c r="U17" i="13"/>
  <c r="W17" i="13"/>
  <c r="Y11" i="15"/>
  <c r="X11" i="15"/>
  <c r="W11" i="15"/>
  <c r="M137" i="15"/>
  <c r="L137" i="15"/>
  <c r="K137" i="15"/>
  <c r="J137" i="15"/>
  <c r="I137" i="15"/>
  <c r="M31" i="15"/>
  <c r="L31" i="15"/>
  <c r="K31" i="15"/>
  <c r="J31" i="15"/>
  <c r="I31" i="15"/>
  <c r="H49" i="15"/>
  <c r="M41" i="15"/>
  <c r="L41" i="15"/>
  <c r="K41" i="15"/>
  <c r="J41" i="15"/>
  <c r="I41" i="15"/>
  <c r="K97" i="15"/>
  <c r="I97" i="15"/>
  <c r="H105" i="15"/>
  <c r="L97" i="15"/>
  <c r="J97" i="15"/>
  <c r="M97" i="15"/>
  <c r="L110" i="15"/>
  <c r="K110" i="15"/>
  <c r="J110" i="15"/>
  <c r="I110" i="15"/>
  <c r="M110" i="15"/>
  <c r="K115" i="15"/>
  <c r="J115" i="15"/>
  <c r="I115" i="15"/>
  <c r="M115" i="15"/>
  <c r="L115" i="15"/>
  <c r="I121" i="15"/>
  <c r="K121" i="15"/>
  <c r="J121" i="15"/>
  <c r="M121" i="15"/>
  <c r="L121" i="15"/>
  <c r="M58" i="15"/>
  <c r="L58" i="15"/>
  <c r="K58" i="15"/>
  <c r="J58" i="15"/>
  <c r="I58" i="15"/>
  <c r="H147" i="15"/>
  <c r="M139" i="15"/>
  <c r="L139" i="15"/>
  <c r="I139" i="15"/>
  <c r="K139" i="15"/>
  <c r="J139" i="15"/>
  <c r="M144" i="15"/>
  <c r="L144" i="15"/>
  <c r="I144" i="15"/>
  <c r="J144" i="15"/>
  <c r="K144" i="15"/>
  <c r="L102" i="15"/>
  <c r="K102" i="15"/>
  <c r="I102" i="15"/>
  <c r="M102" i="15"/>
  <c r="J102" i="15"/>
  <c r="M108" i="15"/>
  <c r="L108" i="15"/>
  <c r="K108" i="15"/>
  <c r="J108" i="15"/>
  <c r="I108" i="15"/>
  <c r="M113" i="15"/>
  <c r="L113" i="15"/>
  <c r="K113" i="15"/>
  <c r="J113" i="15"/>
  <c r="I113" i="15"/>
  <c r="M26" i="15"/>
  <c r="L26" i="15"/>
  <c r="K26" i="15"/>
  <c r="J26" i="15"/>
  <c r="I26" i="15"/>
  <c r="M47" i="15"/>
  <c r="L47" i="15"/>
  <c r="K47" i="15"/>
  <c r="J47" i="15"/>
  <c r="I47" i="15"/>
  <c r="I56" i="15"/>
  <c r="M56" i="15"/>
  <c r="L56" i="15"/>
  <c r="K56" i="15"/>
  <c r="J56" i="15"/>
  <c r="M100" i="15"/>
  <c r="K100" i="15"/>
  <c r="L100" i="15"/>
  <c r="J100" i="15"/>
  <c r="I100" i="15"/>
  <c r="I142" i="15"/>
  <c r="M142" i="15"/>
  <c r="L142" i="15"/>
  <c r="K142" i="15"/>
  <c r="J142" i="15"/>
  <c r="M38" i="15"/>
  <c r="L38" i="15"/>
  <c r="K38" i="15"/>
  <c r="J38" i="15"/>
  <c r="I38" i="15"/>
  <c r="M69" i="15"/>
  <c r="L69" i="15"/>
  <c r="J69" i="15"/>
  <c r="H77" i="15"/>
  <c r="K69" i="15"/>
  <c r="I69" i="15"/>
  <c r="M74" i="15"/>
  <c r="L74" i="15"/>
  <c r="K74" i="15"/>
  <c r="J74" i="15"/>
  <c r="I74" i="15"/>
  <c r="M80" i="15"/>
  <c r="L80" i="15"/>
  <c r="K80" i="15"/>
  <c r="J80" i="15"/>
  <c r="I80" i="15"/>
  <c r="M155" i="15"/>
  <c r="L155" i="15"/>
  <c r="J155" i="15"/>
  <c r="K155" i="15"/>
  <c r="I155" i="15"/>
  <c r="M160" i="15"/>
  <c r="L160" i="15"/>
  <c r="K160" i="15"/>
  <c r="J160" i="15"/>
  <c r="I160" i="15"/>
  <c r="M28" i="15"/>
  <c r="L28" i="15"/>
  <c r="K28" i="15"/>
  <c r="J28" i="15"/>
  <c r="I28" i="15"/>
  <c r="L124" i="15"/>
  <c r="K124" i="15"/>
  <c r="I124" i="15"/>
  <c r="M124" i="15"/>
  <c r="J124" i="15"/>
  <c r="M129" i="15"/>
  <c r="L129" i="15"/>
  <c r="K129" i="15"/>
  <c r="J129" i="15"/>
  <c r="I129" i="15"/>
  <c r="M135" i="15"/>
  <c r="L135" i="15"/>
  <c r="K135" i="15"/>
  <c r="J135" i="15"/>
  <c r="I135" i="15"/>
  <c r="M40" i="15"/>
  <c r="L40" i="15"/>
  <c r="K40" i="15"/>
  <c r="J40" i="15"/>
  <c r="I40" i="15"/>
  <c r="L61" i="15"/>
  <c r="J61" i="15"/>
  <c r="I61" i="15"/>
  <c r="M61" i="15"/>
  <c r="K61" i="15"/>
  <c r="M98" i="15"/>
  <c r="L98" i="15"/>
  <c r="K98" i="15"/>
  <c r="J98" i="15"/>
  <c r="I98" i="15"/>
  <c r="M103" i="15"/>
  <c r="L103" i="15"/>
  <c r="K103" i="15"/>
  <c r="J103" i="15"/>
  <c r="I103" i="15"/>
  <c r="M30" i="15"/>
  <c r="L30" i="15"/>
  <c r="K30" i="15"/>
  <c r="J30" i="15"/>
  <c r="I30" i="15"/>
  <c r="M52" i="15"/>
  <c r="L52" i="15"/>
  <c r="K52" i="15"/>
  <c r="J52" i="15"/>
  <c r="I52" i="15"/>
  <c r="K54" i="15"/>
  <c r="I54" i="15"/>
  <c r="M54" i="15"/>
  <c r="L54" i="15"/>
  <c r="J54" i="15"/>
  <c r="L67" i="15"/>
  <c r="M67" i="15"/>
  <c r="K67" i="15"/>
  <c r="J67" i="15"/>
  <c r="I67" i="15"/>
  <c r="M72" i="15"/>
  <c r="L72" i="15"/>
  <c r="K72" i="15"/>
  <c r="J72" i="15"/>
  <c r="I72" i="15"/>
  <c r="K140" i="15"/>
  <c r="I140" i="15"/>
  <c r="M140" i="15"/>
  <c r="L140" i="15"/>
  <c r="J140" i="15"/>
  <c r="L153" i="15"/>
  <c r="H161" i="15"/>
  <c r="M153" i="15"/>
  <c r="K153" i="15"/>
  <c r="J153" i="15"/>
  <c r="I153" i="15"/>
  <c r="M158" i="15"/>
  <c r="L158" i="15"/>
  <c r="K158" i="15"/>
  <c r="J158" i="15"/>
  <c r="I158" i="15"/>
  <c r="M42" i="15"/>
  <c r="L42" i="15"/>
  <c r="K42" i="15"/>
  <c r="J42" i="15"/>
  <c r="I42" i="15"/>
  <c r="M122" i="15"/>
  <c r="K122" i="15"/>
  <c r="L122" i="15"/>
  <c r="J122" i="15"/>
  <c r="I122" i="15"/>
  <c r="M127" i="15"/>
  <c r="L127" i="15"/>
  <c r="K127" i="15"/>
  <c r="J127" i="15"/>
  <c r="I127" i="15"/>
  <c r="M32" i="15"/>
  <c r="L32" i="15"/>
  <c r="K32" i="15"/>
  <c r="J32" i="15"/>
  <c r="I32" i="15"/>
  <c r="M90" i="15"/>
  <c r="L90" i="15"/>
  <c r="J90" i="15"/>
  <c r="K90" i="15"/>
  <c r="I90" i="15"/>
  <c r="M96" i="15"/>
  <c r="L96" i="15"/>
  <c r="K96" i="15"/>
  <c r="J96" i="15"/>
  <c r="I96" i="15"/>
  <c r="M101" i="15"/>
  <c r="L101" i="15"/>
  <c r="K101" i="15"/>
  <c r="J101" i="15"/>
  <c r="I101" i="15"/>
  <c r="L9" i="15"/>
  <c r="K9" i="15"/>
  <c r="J9" i="15"/>
  <c r="I9" i="15"/>
  <c r="M9" i="15"/>
  <c r="L10" i="15"/>
  <c r="K10" i="15"/>
  <c r="J10" i="15"/>
  <c r="I10" i="15"/>
  <c r="M10" i="15"/>
  <c r="L11" i="15"/>
  <c r="K11" i="15"/>
  <c r="J11" i="15"/>
  <c r="I11" i="15"/>
  <c r="M11" i="15"/>
  <c r="L12" i="15"/>
  <c r="K12" i="15"/>
  <c r="J12" i="15"/>
  <c r="I12" i="15"/>
  <c r="M12" i="15"/>
  <c r="L13" i="15"/>
  <c r="K13" i="15"/>
  <c r="J13" i="15"/>
  <c r="I13" i="15"/>
  <c r="H21" i="15"/>
  <c r="M13" i="15"/>
  <c r="L14" i="15"/>
  <c r="K14" i="15"/>
  <c r="J14" i="15"/>
  <c r="I14" i="15"/>
  <c r="M14" i="15"/>
  <c r="L15" i="15"/>
  <c r="K15" i="15"/>
  <c r="J15" i="15"/>
  <c r="I15" i="15"/>
  <c r="M15" i="15"/>
  <c r="L16" i="15"/>
  <c r="K16" i="15"/>
  <c r="J16" i="15"/>
  <c r="I16" i="15"/>
  <c r="M16" i="15"/>
  <c r="L17" i="15"/>
  <c r="K17" i="15"/>
  <c r="J17" i="15"/>
  <c r="I17" i="15"/>
  <c r="M17" i="15"/>
  <c r="L18" i="15"/>
  <c r="K18" i="15"/>
  <c r="J18" i="15"/>
  <c r="I18" i="15"/>
  <c r="M18" i="15"/>
  <c r="L19" i="15"/>
  <c r="K19" i="15"/>
  <c r="J19" i="15"/>
  <c r="I19" i="15"/>
  <c r="M19" i="15"/>
  <c r="L20" i="15"/>
  <c r="K20" i="15"/>
  <c r="J20" i="15"/>
  <c r="I20" i="15"/>
  <c r="M20" i="15"/>
  <c r="L23" i="15"/>
  <c r="K23" i="15"/>
  <c r="J23" i="15"/>
  <c r="I23" i="15"/>
  <c r="M23" i="15"/>
  <c r="L44" i="15"/>
  <c r="K44" i="15"/>
  <c r="J44" i="15"/>
  <c r="I44" i="15"/>
  <c r="M44" i="15"/>
  <c r="L59" i="15"/>
  <c r="K59" i="15"/>
  <c r="I59" i="15"/>
  <c r="M59" i="15"/>
  <c r="J59" i="15"/>
  <c r="L65" i="15"/>
  <c r="K65" i="15"/>
  <c r="J65" i="15"/>
  <c r="I65" i="15"/>
  <c r="M65" i="15"/>
  <c r="L70" i="15"/>
  <c r="K70" i="15"/>
  <c r="J70" i="15"/>
  <c r="I70" i="15"/>
  <c r="M70" i="15"/>
  <c r="L145" i="15"/>
  <c r="K145" i="15"/>
  <c r="I145" i="15"/>
  <c r="M145" i="15"/>
  <c r="J145" i="15"/>
  <c r="L151" i="15"/>
  <c r="K151" i="15"/>
  <c r="J151" i="15"/>
  <c r="I151" i="15"/>
  <c r="M151" i="15"/>
  <c r="L156" i="15"/>
  <c r="K156" i="15"/>
  <c r="J156" i="15"/>
  <c r="I156" i="15"/>
  <c r="M156" i="15"/>
  <c r="K34" i="15"/>
  <c r="J34" i="15"/>
  <c r="I34" i="15"/>
  <c r="M34" i="15"/>
  <c r="L34" i="15"/>
  <c r="L83" i="15"/>
  <c r="J83" i="15"/>
  <c r="I83" i="15"/>
  <c r="M83" i="15"/>
  <c r="K83" i="15"/>
  <c r="H91" i="15"/>
  <c r="K125" i="15"/>
  <c r="J125" i="15"/>
  <c r="I125" i="15"/>
  <c r="H133" i="15"/>
  <c r="M125" i="15"/>
  <c r="L125" i="15"/>
  <c r="J25" i="15"/>
  <c r="I25" i="15"/>
  <c r="M25" i="15"/>
  <c r="L25" i="15"/>
  <c r="K25" i="15"/>
  <c r="J46" i="15"/>
  <c r="I46" i="15"/>
  <c r="M46" i="15"/>
  <c r="L46" i="15"/>
  <c r="K46" i="15"/>
  <c r="K75" i="15"/>
  <c r="I75" i="15"/>
  <c r="L75" i="15"/>
  <c r="J75" i="15"/>
  <c r="M75" i="15"/>
  <c r="L88" i="15"/>
  <c r="J88" i="15"/>
  <c r="I88" i="15"/>
  <c r="M88" i="15"/>
  <c r="K88" i="15"/>
  <c r="J94" i="15"/>
  <c r="I94" i="15"/>
  <c r="M94" i="15"/>
  <c r="K94" i="15"/>
  <c r="L94" i="15"/>
  <c r="I37" i="15"/>
  <c r="L37" i="15"/>
  <c r="M37" i="15"/>
  <c r="K37" i="15"/>
  <c r="J37" i="15"/>
  <c r="M57" i="15"/>
  <c r="K57" i="15"/>
  <c r="I57" i="15"/>
  <c r="L57" i="15"/>
  <c r="J57" i="15"/>
  <c r="I62" i="15"/>
  <c r="L62" i="15"/>
  <c r="M62" i="15"/>
  <c r="K62" i="15"/>
  <c r="J62" i="15"/>
  <c r="I99" i="15"/>
  <c r="J99" i="15"/>
  <c r="M99" i="15"/>
  <c r="L99" i="15"/>
  <c r="K99" i="15"/>
  <c r="M143" i="15"/>
  <c r="K143" i="15"/>
  <c r="I143" i="15"/>
  <c r="L143" i="15"/>
  <c r="J143" i="15"/>
  <c r="I149" i="15"/>
  <c r="M149" i="15"/>
  <c r="L149" i="15"/>
  <c r="K149" i="15"/>
  <c r="J149" i="15"/>
  <c r="M27" i="15"/>
  <c r="L27" i="15"/>
  <c r="K27" i="15"/>
  <c r="J27" i="15"/>
  <c r="I27" i="15"/>
  <c r="H35" i="15"/>
  <c r="K48" i="15"/>
  <c r="M48" i="15"/>
  <c r="L48" i="15"/>
  <c r="J48" i="15"/>
  <c r="I48" i="15"/>
  <c r="M112" i="15"/>
  <c r="L112" i="15"/>
  <c r="J112" i="15"/>
  <c r="K112" i="15"/>
  <c r="I112" i="15"/>
  <c r="M117" i="15"/>
  <c r="L117" i="15"/>
  <c r="K117" i="15"/>
  <c r="J117" i="15"/>
  <c r="I117" i="15"/>
  <c r="M123" i="15"/>
  <c r="L123" i="15"/>
  <c r="K123" i="15"/>
  <c r="J123" i="15"/>
  <c r="I123" i="15"/>
  <c r="M71" i="15"/>
  <c r="K71" i="15"/>
  <c r="J71" i="15"/>
  <c r="L71" i="15"/>
  <c r="I71" i="15"/>
  <c r="M93" i="15"/>
  <c r="K93" i="15"/>
  <c r="J93" i="15"/>
  <c r="L93" i="15"/>
  <c r="I93" i="15"/>
  <c r="M114" i="15"/>
  <c r="K114" i="15"/>
  <c r="J114" i="15"/>
  <c r="L114" i="15"/>
  <c r="I114" i="15"/>
  <c r="M136" i="15"/>
  <c r="K136" i="15"/>
  <c r="J136" i="15"/>
  <c r="L136" i="15"/>
  <c r="I136" i="15"/>
  <c r="M157" i="15"/>
  <c r="K157" i="15"/>
  <c r="J157" i="15"/>
  <c r="I157" i="15"/>
  <c r="L157" i="15"/>
  <c r="M73" i="15"/>
  <c r="K73" i="15"/>
  <c r="I73" i="15"/>
  <c r="J73" i="15"/>
  <c r="L73" i="15"/>
  <c r="M95" i="15"/>
  <c r="K95" i="15"/>
  <c r="I95" i="15"/>
  <c r="L95" i="15"/>
  <c r="J95" i="15"/>
  <c r="M116" i="15"/>
  <c r="K116" i="15"/>
  <c r="I116" i="15"/>
  <c r="L116" i="15"/>
  <c r="J116" i="15"/>
  <c r="M138" i="15"/>
  <c r="K138" i="15"/>
  <c r="I138" i="15"/>
  <c r="L138" i="15"/>
  <c r="J138" i="15"/>
  <c r="M159" i="15"/>
  <c r="K159" i="15"/>
  <c r="I159" i="15"/>
  <c r="L159" i="15"/>
  <c r="J159" i="15"/>
  <c r="L85" i="15"/>
  <c r="J85" i="15"/>
  <c r="M85" i="15"/>
  <c r="K85" i="15"/>
  <c r="I85" i="15"/>
  <c r="L107" i="15"/>
  <c r="J107" i="15"/>
  <c r="M107" i="15"/>
  <c r="K107" i="15"/>
  <c r="I107" i="15"/>
  <c r="L128" i="15"/>
  <c r="J128" i="15"/>
  <c r="M128" i="15"/>
  <c r="K128" i="15"/>
  <c r="I128" i="15"/>
  <c r="L150" i="15"/>
  <c r="J150" i="15"/>
  <c r="M150" i="15"/>
  <c r="K150" i="15"/>
  <c r="I150" i="15"/>
  <c r="J66" i="15"/>
  <c r="K66" i="15"/>
  <c r="M66" i="15"/>
  <c r="L66" i="15"/>
  <c r="I66" i="15"/>
  <c r="J87" i="15"/>
  <c r="M87" i="15"/>
  <c r="L87" i="15"/>
  <c r="K87" i="15"/>
  <c r="I87" i="15"/>
  <c r="J109" i="15"/>
  <c r="M109" i="15"/>
  <c r="L109" i="15"/>
  <c r="K109" i="15"/>
  <c r="I109" i="15"/>
  <c r="J130" i="15"/>
  <c r="K130" i="15"/>
  <c r="I130" i="15"/>
  <c r="M130" i="15"/>
  <c r="L130" i="15"/>
  <c r="J152" i="15"/>
  <c r="L152" i="15"/>
  <c r="K152" i="15"/>
  <c r="I152" i="15"/>
  <c r="M152" i="15"/>
  <c r="I68" i="15"/>
  <c r="L68" i="15"/>
  <c r="M68" i="15"/>
  <c r="K68" i="15"/>
  <c r="J68" i="15"/>
  <c r="M89" i="15"/>
  <c r="I89" i="15"/>
  <c r="L89" i="15"/>
  <c r="K89" i="15"/>
  <c r="J89" i="15"/>
  <c r="H119" i="15"/>
  <c r="M111" i="15"/>
  <c r="L111" i="15"/>
  <c r="K111" i="15"/>
  <c r="J111" i="15"/>
  <c r="I111" i="15"/>
  <c r="M132" i="15"/>
  <c r="L132" i="15"/>
  <c r="K132" i="15"/>
  <c r="J132" i="15"/>
  <c r="I132" i="15"/>
  <c r="I154" i="15"/>
  <c r="M154" i="15"/>
  <c r="L154" i="15"/>
  <c r="K154" i="15"/>
  <c r="J154" i="15"/>
  <c r="M53" i="15"/>
  <c r="I53" i="15"/>
  <c r="L53" i="15"/>
  <c r="K53" i="15"/>
  <c r="J53" i="15"/>
  <c r="Y9" i="15"/>
  <c r="X9" i="15"/>
  <c r="W9" i="15"/>
  <c r="W19" i="13"/>
  <c r="V19" i="13"/>
  <c r="U19" i="13"/>
  <c r="K60" i="15"/>
  <c r="I60" i="15"/>
  <c r="M60" i="15"/>
  <c r="L60" i="15"/>
  <c r="J60" i="15"/>
  <c r="L86" i="15"/>
  <c r="J86" i="15"/>
  <c r="M86" i="15"/>
  <c r="K86" i="15"/>
  <c r="I86" i="15"/>
  <c r="M76" i="15"/>
  <c r="L76" i="15"/>
  <c r="K76" i="15"/>
  <c r="J76" i="15"/>
  <c r="I76" i="15"/>
  <c r="L146" i="15"/>
  <c r="K146" i="15"/>
  <c r="J146" i="15"/>
  <c r="I146" i="15"/>
  <c r="M146" i="15"/>
  <c r="M45" i="15"/>
  <c r="L45" i="15"/>
  <c r="K45" i="15"/>
  <c r="J45" i="15"/>
  <c r="I45" i="15"/>
  <c r="K116" i="13"/>
  <c r="J116" i="13"/>
  <c r="I116" i="13"/>
  <c r="K108" i="13"/>
  <c r="J108" i="13"/>
  <c r="I108" i="13"/>
  <c r="K27" i="13"/>
  <c r="J27" i="13"/>
  <c r="I27" i="13"/>
  <c r="K154" i="13"/>
  <c r="J154" i="13"/>
  <c r="I154" i="13"/>
  <c r="K92" i="13"/>
  <c r="I92" i="13"/>
  <c r="J92" i="13"/>
  <c r="K70" i="13"/>
  <c r="I70" i="13"/>
  <c r="J70" i="13"/>
  <c r="I46" i="13"/>
  <c r="K46" i="13"/>
  <c r="J46" i="13"/>
  <c r="T45" i="12"/>
  <c r="S45" i="12"/>
  <c r="V45" i="12"/>
  <c r="S44" i="12"/>
  <c r="V44" i="12"/>
  <c r="T44" i="12"/>
  <c r="S43" i="12"/>
  <c r="V43" i="12"/>
  <c r="T43" i="12"/>
  <c r="S42" i="12"/>
  <c r="V42" i="12"/>
  <c r="T42" i="12"/>
  <c r="S41" i="12"/>
  <c r="V41" i="12"/>
  <c r="T41" i="12"/>
  <c r="K144" i="13"/>
  <c r="J144" i="13"/>
  <c r="I144" i="13"/>
  <c r="T46" i="12"/>
  <c r="S46" i="12"/>
  <c r="V46" i="12"/>
  <c r="K135" i="13"/>
  <c r="J135" i="13"/>
  <c r="I135" i="13"/>
  <c r="K75" i="13"/>
  <c r="I75" i="13"/>
  <c r="J75" i="13"/>
  <c r="K22" i="13"/>
  <c r="J22" i="13"/>
  <c r="I22" i="13"/>
  <c r="K17" i="13"/>
  <c r="J17" i="13"/>
  <c r="I17" i="13"/>
  <c r="K51" i="12"/>
  <c r="J51" i="12"/>
  <c r="I51" i="12"/>
  <c r="L51" i="12"/>
  <c r="T47" i="12"/>
  <c r="S47" i="12"/>
  <c r="V47" i="12"/>
  <c r="K56" i="13"/>
  <c r="J56" i="13"/>
  <c r="I56" i="13"/>
  <c r="V10" i="12"/>
  <c r="T10" i="12"/>
  <c r="S10" i="12"/>
  <c r="V9" i="12"/>
  <c r="T9" i="12"/>
  <c r="S9" i="12"/>
  <c r="V8" i="12"/>
  <c r="T8" i="12"/>
  <c r="S8" i="12"/>
  <c r="V7" i="12"/>
  <c r="T7" i="12"/>
  <c r="S7" i="12"/>
  <c r="V6" i="12"/>
  <c r="T6" i="12"/>
  <c r="S6" i="12"/>
  <c r="J89" i="13"/>
  <c r="I89" i="13"/>
  <c r="K89" i="13"/>
  <c r="W8" i="13"/>
  <c r="V8" i="13"/>
  <c r="U8" i="13"/>
  <c r="T48" i="12"/>
  <c r="S48" i="12"/>
  <c r="V48" i="12"/>
  <c r="K97" i="13"/>
  <c r="I97" i="13"/>
  <c r="J97" i="13"/>
  <c r="H76" i="13"/>
  <c r="I68" i="13"/>
  <c r="K68" i="13"/>
  <c r="J68" i="13"/>
  <c r="W18" i="13"/>
  <c r="V18" i="13"/>
  <c r="U18" i="13"/>
  <c r="V10" i="13"/>
  <c r="W10" i="13"/>
  <c r="U10" i="13"/>
  <c r="K78" i="13"/>
  <c r="J78" i="13"/>
  <c r="I78" i="13"/>
  <c r="K99" i="13"/>
  <c r="I99" i="13"/>
  <c r="J99" i="13"/>
  <c r="K121" i="13"/>
  <c r="J121" i="13"/>
  <c r="I121" i="13"/>
  <c r="K142" i="13"/>
  <c r="J142" i="13"/>
  <c r="I142" i="13"/>
  <c r="J87" i="13"/>
  <c r="K87" i="13"/>
  <c r="I87" i="13"/>
  <c r="J109" i="13"/>
  <c r="K109" i="13"/>
  <c r="I109" i="13"/>
  <c r="J130" i="13"/>
  <c r="I130" i="13"/>
  <c r="K130" i="13"/>
  <c r="H160" i="13"/>
  <c r="J152" i="13"/>
  <c r="I152" i="13"/>
  <c r="K152" i="13"/>
  <c r="K140" i="13"/>
  <c r="I140" i="13"/>
  <c r="J140" i="13"/>
  <c r="K64" i="13"/>
  <c r="J64" i="13"/>
  <c r="I64" i="13"/>
  <c r="K85" i="13"/>
  <c r="J85" i="13"/>
  <c r="I85" i="13"/>
  <c r="K107" i="13"/>
  <c r="J107" i="13"/>
  <c r="I107" i="13"/>
  <c r="K128" i="13"/>
  <c r="J128" i="13"/>
  <c r="I128" i="13"/>
  <c r="K150" i="13"/>
  <c r="J150" i="13"/>
  <c r="I150" i="13"/>
  <c r="K159" i="13"/>
  <c r="J159" i="13"/>
  <c r="I159" i="13"/>
  <c r="K40" i="13"/>
  <c r="J40" i="13"/>
  <c r="I40" i="13"/>
  <c r="H48" i="13"/>
  <c r="K61" i="13"/>
  <c r="J61" i="13"/>
  <c r="I61" i="13"/>
  <c r="K83" i="13"/>
  <c r="J83" i="13"/>
  <c r="I83" i="13"/>
  <c r="K126" i="13"/>
  <c r="J126" i="13"/>
  <c r="I126" i="13"/>
  <c r="K148" i="13"/>
  <c r="J148" i="13"/>
  <c r="I148" i="13"/>
  <c r="K50" i="13"/>
  <c r="J50" i="13"/>
  <c r="I50" i="13"/>
  <c r="K71" i="13"/>
  <c r="J71" i="13"/>
  <c r="I71" i="13"/>
  <c r="K93" i="13"/>
  <c r="J93" i="13"/>
  <c r="I93" i="13"/>
  <c r="K114" i="13"/>
  <c r="J114" i="13"/>
  <c r="I114" i="13"/>
  <c r="K136" i="13"/>
  <c r="J136" i="13"/>
  <c r="I136" i="13"/>
  <c r="K157" i="13"/>
  <c r="J157" i="13"/>
  <c r="I157" i="13"/>
  <c r="K38" i="13"/>
  <c r="J38" i="13"/>
  <c r="I38" i="13"/>
  <c r="K59" i="13"/>
  <c r="J59" i="13"/>
  <c r="I59" i="13"/>
  <c r="K81" i="13"/>
  <c r="J81" i="13"/>
  <c r="I81" i="13"/>
  <c r="K102" i="13"/>
  <c r="J102" i="13"/>
  <c r="I102" i="13"/>
  <c r="K124" i="13"/>
  <c r="J124" i="13"/>
  <c r="I124" i="13"/>
  <c r="H132" i="13"/>
  <c r="K145" i="13"/>
  <c r="J145" i="13"/>
  <c r="I145" i="13"/>
  <c r="K13" i="13"/>
  <c r="J13" i="13"/>
  <c r="I13" i="13"/>
  <c r="K26" i="13"/>
  <c r="J26" i="13"/>
  <c r="I26" i="13"/>
  <c r="H34" i="13"/>
  <c r="K47" i="13"/>
  <c r="J47" i="13"/>
  <c r="I47" i="13"/>
  <c r="K69" i="13"/>
  <c r="J69" i="13"/>
  <c r="I69" i="13"/>
  <c r="K112" i="13"/>
  <c r="J112" i="13"/>
  <c r="I112" i="13"/>
  <c r="K134" i="13"/>
  <c r="J134" i="13"/>
  <c r="I134" i="13"/>
  <c r="K155" i="13"/>
  <c r="J155" i="13"/>
  <c r="I155" i="13"/>
  <c r="J36" i="13"/>
  <c r="I36" i="13"/>
  <c r="K36" i="13"/>
  <c r="J57" i="13"/>
  <c r="I57" i="13"/>
  <c r="K57" i="13"/>
  <c r="J79" i="13"/>
  <c r="I79" i="13"/>
  <c r="K79" i="13"/>
  <c r="J100" i="13"/>
  <c r="I100" i="13"/>
  <c r="K100" i="13"/>
  <c r="J122" i="13"/>
  <c r="I122" i="13"/>
  <c r="K122" i="13"/>
  <c r="J143" i="13"/>
  <c r="I143" i="13"/>
  <c r="K143" i="13"/>
  <c r="H20" i="13"/>
  <c r="K12" i="13"/>
  <c r="I12" i="13"/>
  <c r="J12" i="13"/>
  <c r="K24" i="13"/>
  <c r="I24" i="13"/>
  <c r="J24" i="13"/>
  <c r="K45" i="13"/>
  <c r="I45" i="13"/>
  <c r="J45" i="13"/>
  <c r="K67" i="13"/>
  <c r="I67" i="13"/>
  <c r="J67" i="13"/>
  <c r="K88" i="13"/>
  <c r="I88" i="13"/>
  <c r="J88" i="13"/>
  <c r="K110" i="13"/>
  <c r="I110" i="13"/>
  <c r="H118" i="13"/>
  <c r="J110" i="13"/>
  <c r="K131" i="13"/>
  <c r="I131" i="13"/>
  <c r="J131" i="13"/>
  <c r="K153" i="13"/>
  <c r="I153" i="13"/>
  <c r="J153" i="13"/>
  <c r="K33" i="13"/>
  <c r="J33" i="13"/>
  <c r="I33" i="13"/>
  <c r="K55" i="13"/>
  <c r="J55" i="13"/>
  <c r="I55" i="13"/>
  <c r="K98" i="13"/>
  <c r="J98" i="13"/>
  <c r="I98" i="13"/>
  <c r="K120" i="13"/>
  <c r="J120" i="13"/>
  <c r="I120" i="13"/>
  <c r="K141" i="13"/>
  <c r="J141" i="13"/>
  <c r="I141" i="13"/>
  <c r="K31" i="13"/>
  <c r="J31" i="13"/>
  <c r="I31" i="13"/>
  <c r="K53" i="13"/>
  <c r="J53" i="13"/>
  <c r="I53" i="13"/>
  <c r="K74" i="13"/>
  <c r="J74" i="13"/>
  <c r="I74" i="13"/>
  <c r="K96" i="13"/>
  <c r="J96" i="13"/>
  <c r="I96" i="13"/>
  <c r="H104" i="13"/>
  <c r="K117" i="13"/>
  <c r="J117" i="13"/>
  <c r="I117" i="13"/>
  <c r="K139" i="13"/>
  <c r="J139" i="13"/>
  <c r="I139" i="13"/>
  <c r="J10" i="13"/>
  <c r="I10" i="13"/>
  <c r="K10" i="13"/>
  <c r="J41" i="13"/>
  <c r="I41" i="13"/>
  <c r="K41" i="13"/>
  <c r="J84" i="13"/>
  <c r="I84" i="13"/>
  <c r="K84" i="13"/>
  <c r="J106" i="13"/>
  <c r="I106" i="13"/>
  <c r="K106" i="13"/>
  <c r="J127" i="13"/>
  <c r="I127" i="13"/>
  <c r="K127" i="13"/>
  <c r="J149" i="13"/>
  <c r="I149" i="13"/>
  <c r="K149" i="13"/>
  <c r="I29" i="13"/>
  <c r="K29" i="13"/>
  <c r="J29" i="13"/>
  <c r="I51" i="13"/>
  <c r="K51" i="13"/>
  <c r="J51" i="13"/>
  <c r="I72" i="13"/>
  <c r="K72" i="13"/>
  <c r="J72" i="13"/>
  <c r="I94" i="13"/>
  <c r="K94" i="13"/>
  <c r="J94" i="13"/>
  <c r="I115" i="13"/>
  <c r="K115" i="13"/>
  <c r="J115" i="13"/>
  <c r="I137" i="13"/>
  <c r="K137" i="13"/>
  <c r="J137" i="13"/>
  <c r="I158" i="13"/>
  <c r="K158" i="13"/>
  <c r="J158" i="13"/>
  <c r="K9" i="13"/>
  <c r="J9" i="13"/>
  <c r="I9" i="13"/>
  <c r="K19" i="13"/>
  <c r="J19" i="13"/>
  <c r="I19" i="13"/>
  <c r="K39" i="13"/>
  <c r="J39" i="13"/>
  <c r="I39" i="13"/>
  <c r="K60" i="13"/>
  <c r="J60" i="13"/>
  <c r="I60" i="13"/>
  <c r="H90" i="13"/>
  <c r="K82" i="13"/>
  <c r="J82" i="13"/>
  <c r="I82" i="13"/>
  <c r="K103" i="13"/>
  <c r="J103" i="13"/>
  <c r="I103" i="13"/>
  <c r="K125" i="13"/>
  <c r="J125" i="13"/>
  <c r="I125" i="13"/>
  <c r="V53" i="12"/>
  <c r="T53" i="12"/>
  <c r="S53" i="12"/>
  <c r="V56" i="12"/>
  <c r="T56" i="12"/>
  <c r="S56" i="12"/>
  <c r="T49" i="12"/>
  <c r="S49" i="12"/>
  <c r="V49" i="12"/>
  <c r="K113" i="13"/>
  <c r="J113" i="13"/>
  <c r="I113" i="13"/>
  <c r="W12" i="13"/>
  <c r="V12" i="13"/>
  <c r="T20" i="13"/>
  <c r="U12" i="13"/>
  <c r="L52" i="12"/>
  <c r="K52" i="12"/>
  <c r="J52" i="12"/>
  <c r="I52" i="12"/>
  <c r="L45" i="12"/>
  <c r="K45" i="12"/>
  <c r="J45" i="12"/>
  <c r="I45" i="12"/>
  <c r="L44" i="12"/>
  <c r="K44" i="12"/>
  <c r="J44" i="12"/>
  <c r="I44" i="12"/>
  <c r="L43" i="12"/>
  <c r="K43" i="12"/>
  <c r="J43" i="12"/>
  <c r="I43" i="12"/>
  <c r="L42" i="12"/>
  <c r="K42" i="12"/>
  <c r="J42" i="12"/>
  <c r="I42" i="12"/>
  <c r="L41" i="12"/>
  <c r="K41" i="12"/>
  <c r="J41" i="12"/>
  <c r="I41" i="12"/>
  <c r="L40" i="12"/>
  <c r="K40" i="12"/>
  <c r="J40" i="12"/>
  <c r="I40" i="12"/>
  <c r="L39" i="12"/>
  <c r="K39" i="12"/>
  <c r="J39" i="12"/>
  <c r="I39" i="12"/>
  <c r="L38" i="12"/>
  <c r="K38" i="12"/>
  <c r="J38" i="12"/>
  <c r="I38" i="12"/>
  <c r="L37" i="12"/>
  <c r="K37" i="12"/>
  <c r="J37" i="12"/>
  <c r="I37" i="12"/>
  <c r="L36" i="12"/>
  <c r="K36" i="12"/>
  <c r="J36" i="12"/>
  <c r="I36" i="12"/>
  <c r="L35" i="12"/>
  <c r="K35" i="12"/>
  <c r="J35" i="12"/>
  <c r="I35" i="12"/>
  <c r="L34" i="12"/>
  <c r="K34" i="12"/>
  <c r="J34" i="12"/>
  <c r="I34" i="12"/>
  <c r="L33" i="12"/>
  <c r="K33" i="12"/>
  <c r="J33" i="12"/>
  <c r="I33" i="12"/>
  <c r="L32" i="12"/>
  <c r="K32" i="12"/>
  <c r="J32" i="12"/>
  <c r="I32" i="12"/>
  <c r="L31" i="12"/>
  <c r="K31" i="12"/>
  <c r="J31" i="12"/>
  <c r="I31" i="12"/>
  <c r="L30" i="12"/>
  <c r="K30" i="12"/>
  <c r="J30" i="12"/>
  <c r="I30" i="12"/>
  <c r="L29" i="12"/>
  <c r="K29" i="12"/>
  <c r="J29" i="12"/>
  <c r="I29" i="12"/>
  <c r="L28" i="12"/>
  <c r="K28" i="12"/>
  <c r="J28" i="12"/>
  <c r="I28" i="12"/>
  <c r="L27" i="12"/>
  <c r="K27" i="12"/>
  <c r="J27" i="12"/>
  <c r="I27" i="12"/>
  <c r="L26" i="12"/>
  <c r="K26" i="12"/>
  <c r="J26" i="12"/>
  <c r="I26" i="12"/>
  <c r="L25" i="12"/>
  <c r="K25" i="12"/>
  <c r="J25" i="12"/>
  <c r="I25" i="12"/>
  <c r="L24" i="12"/>
  <c r="K24" i="12"/>
  <c r="J24" i="12"/>
  <c r="I24" i="12"/>
  <c r="L23" i="12"/>
  <c r="K23" i="12"/>
  <c r="J23" i="12"/>
  <c r="I23" i="12"/>
  <c r="L22" i="12"/>
  <c r="K22" i="12"/>
  <c r="J22" i="12"/>
  <c r="I22" i="12"/>
  <c r="L21" i="12"/>
  <c r="K21" i="12"/>
  <c r="J21" i="12"/>
  <c r="I21" i="12"/>
  <c r="L20" i="12"/>
  <c r="K20" i="12"/>
  <c r="J20" i="12"/>
  <c r="I20" i="12"/>
  <c r="L19" i="12"/>
  <c r="K19" i="12"/>
  <c r="J19" i="12"/>
  <c r="I19" i="12"/>
  <c r="L18" i="12"/>
  <c r="K18" i="12"/>
  <c r="J18" i="12"/>
  <c r="I18" i="12"/>
  <c r="L17" i="12"/>
  <c r="K17" i="12"/>
  <c r="J17" i="12"/>
  <c r="I17" i="12"/>
  <c r="L16" i="12"/>
  <c r="K16" i="12"/>
  <c r="J16" i="12"/>
  <c r="I16" i="12"/>
  <c r="L15" i="12"/>
  <c r="K15" i="12"/>
  <c r="J15" i="12"/>
  <c r="I15" i="12"/>
  <c r="L46" i="12"/>
  <c r="K46" i="12"/>
  <c r="J46" i="12"/>
  <c r="I46" i="12"/>
  <c r="L14" i="12"/>
  <c r="K14" i="12"/>
  <c r="J14" i="12"/>
  <c r="I14" i="12"/>
  <c r="L13" i="12"/>
  <c r="K13" i="12"/>
  <c r="J13" i="12"/>
  <c r="I13" i="12"/>
  <c r="L12" i="12"/>
  <c r="K12" i="12"/>
  <c r="J12" i="12"/>
  <c r="I12" i="12"/>
  <c r="L47" i="12"/>
  <c r="K47" i="12"/>
  <c r="J47" i="12"/>
  <c r="I47" i="12"/>
  <c r="L10" i="12"/>
  <c r="K10" i="12"/>
  <c r="J10" i="12"/>
  <c r="I10" i="12"/>
  <c r="L9" i="12"/>
  <c r="K9" i="12"/>
  <c r="J9" i="12"/>
  <c r="H56" i="12"/>
  <c r="I9" i="12"/>
  <c r="H55" i="12"/>
  <c r="L8" i="12"/>
  <c r="K8" i="12"/>
  <c r="J8" i="12"/>
  <c r="I8" i="12"/>
  <c r="H54" i="12"/>
  <c r="L7" i="12"/>
  <c r="K7" i="12"/>
  <c r="J7" i="12"/>
  <c r="I7" i="12"/>
  <c r="L6" i="12"/>
  <c r="K6" i="12"/>
  <c r="J6" i="12"/>
  <c r="H53" i="12"/>
  <c r="I6" i="12"/>
  <c r="L48" i="12"/>
  <c r="K48" i="12"/>
  <c r="J48" i="12"/>
  <c r="I48" i="12"/>
  <c r="L49" i="12"/>
  <c r="K49" i="12"/>
  <c r="J49" i="12"/>
  <c r="I49" i="12"/>
  <c r="S18" i="6"/>
  <c r="R18" i="6"/>
  <c r="Q18" i="6"/>
  <c r="S11" i="6"/>
  <c r="R11" i="6"/>
  <c r="Q11" i="6"/>
  <c r="Q45" i="6"/>
  <c r="S45" i="6"/>
  <c r="R45" i="6"/>
  <c r="Q25" i="6"/>
  <c r="S25" i="6"/>
  <c r="R25" i="6"/>
  <c r="R52" i="6"/>
  <c r="Q52" i="6"/>
  <c r="S52" i="6"/>
  <c r="R32" i="6"/>
  <c r="Q32" i="6"/>
  <c r="S32" i="6"/>
  <c r="S39" i="6"/>
  <c r="R39" i="6"/>
  <c r="Q39" i="6"/>
  <c r="B56" i="11"/>
  <c r="D55" i="11"/>
  <c r="S46" i="6"/>
  <c r="R46" i="6"/>
  <c r="Q46" i="6"/>
  <c r="S26" i="6"/>
  <c r="R26" i="6"/>
  <c r="Q26" i="6"/>
  <c r="S33" i="6"/>
  <c r="R33" i="6"/>
  <c r="Q33" i="6"/>
  <c r="S40" i="6"/>
  <c r="R40" i="6"/>
  <c r="Q40" i="6"/>
  <c r="S20" i="6"/>
  <c r="R20" i="6"/>
  <c r="Q20" i="6"/>
  <c r="Q13" i="6"/>
  <c r="S13" i="6"/>
  <c r="R13" i="6"/>
  <c r="F87" i="10"/>
  <c r="F82" i="10"/>
  <c r="F80" i="10"/>
  <c r="F78" i="10"/>
  <c r="F76" i="10"/>
  <c r="C73" i="10"/>
  <c r="D74" i="10" s="1"/>
  <c r="F84" i="10"/>
  <c r="F86" i="10"/>
  <c r="F75" i="10"/>
  <c r="F79" i="10"/>
  <c r="F74" i="10"/>
  <c r="F85" i="10"/>
  <c r="F81" i="10"/>
  <c r="F83" i="10"/>
  <c r="F77" i="10"/>
  <c r="S47" i="6"/>
  <c r="R47" i="6"/>
  <c r="Q47" i="6"/>
  <c r="S27" i="6"/>
  <c r="R27" i="6"/>
  <c r="Q27" i="6"/>
  <c r="S34" i="6"/>
  <c r="R34" i="6"/>
  <c r="Q34" i="6"/>
  <c r="S7" i="6"/>
  <c r="R7" i="6"/>
  <c r="Q7" i="6"/>
  <c r="S41" i="6"/>
  <c r="R41" i="6"/>
  <c r="Q41" i="6"/>
  <c r="B80" i="11"/>
  <c r="D79" i="11"/>
  <c r="B34" i="11"/>
  <c r="D33" i="11"/>
  <c r="W36" i="5"/>
  <c r="V36" i="5"/>
  <c r="U36" i="5"/>
  <c r="T36" i="5"/>
  <c r="S36" i="5"/>
  <c r="I26" i="5"/>
  <c r="M26" i="5"/>
  <c r="L26" i="5"/>
  <c r="K26" i="5"/>
  <c r="J26" i="5"/>
  <c r="M7" i="5"/>
  <c r="L7" i="5"/>
  <c r="K7" i="5"/>
  <c r="J7" i="5"/>
  <c r="I7" i="5"/>
  <c r="F188" i="3"/>
  <c r="H114" i="3"/>
  <c r="I45" i="5"/>
  <c r="J45" i="5"/>
  <c r="M45" i="5"/>
  <c r="L45" i="5"/>
  <c r="K45" i="5"/>
  <c r="S35" i="5"/>
  <c r="T35" i="5"/>
  <c r="W35" i="5"/>
  <c r="V35" i="5"/>
  <c r="U35" i="5"/>
  <c r="I25" i="5"/>
  <c r="K25" i="5"/>
  <c r="J25" i="5"/>
  <c r="M25" i="5"/>
  <c r="L25" i="5"/>
  <c r="S16" i="5"/>
  <c r="W16" i="5"/>
  <c r="V16" i="5"/>
  <c r="T16" i="5"/>
  <c r="U16" i="5"/>
  <c r="E188" i="3"/>
  <c r="J138" i="3"/>
  <c r="L138" i="3"/>
  <c r="K138" i="3"/>
  <c r="G114" i="3"/>
  <c r="J56" i="3"/>
  <c r="K56" i="3"/>
  <c r="J39" i="3"/>
  <c r="L39" i="3"/>
  <c r="K39" i="3"/>
  <c r="J34" i="3"/>
  <c r="L34" i="3"/>
  <c r="K34" i="3"/>
  <c r="J29" i="3"/>
  <c r="K29" i="3"/>
  <c r="L29" i="3"/>
  <c r="J24" i="3"/>
  <c r="L24" i="3"/>
  <c r="K24" i="3"/>
  <c r="J19" i="3"/>
  <c r="L19" i="3"/>
  <c r="K19" i="3"/>
  <c r="J14" i="3"/>
  <c r="L14" i="3"/>
  <c r="K14" i="3"/>
  <c r="J9" i="3"/>
  <c r="K9" i="3"/>
  <c r="L9" i="3"/>
  <c r="I69" i="2"/>
  <c r="L66" i="2"/>
  <c r="L61" i="2"/>
  <c r="J44" i="5"/>
  <c r="I44" i="5"/>
  <c r="L44" i="5"/>
  <c r="K44" i="5"/>
  <c r="M44" i="5"/>
  <c r="T34" i="5"/>
  <c r="S34" i="5"/>
  <c r="V34" i="5"/>
  <c r="U34" i="5"/>
  <c r="W34" i="5"/>
  <c r="J24" i="5"/>
  <c r="I24" i="5"/>
  <c r="M24" i="5"/>
  <c r="L24" i="5"/>
  <c r="K24" i="5"/>
  <c r="T15" i="5"/>
  <c r="S15" i="5"/>
  <c r="V15" i="5"/>
  <c r="U15" i="5"/>
  <c r="W15" i="5"/>
  <c r="K53" i="3"/>
  <c r="J53" i="3"/>
  <c r="H69" i="2"/>
  <c r="K43" i="5"/>
  <c r="J43" i="5"/>
  <c r="I43" i="5"/>
  <c r="M43" i="5"/>
  <c r="L43" i="5"/>
  <c r="U33" i="5"/>
  <c r="T33" i="5"/>
  <c r="S33" i="5"/>
  <c r="W33" i="5"/>
  <c r="V33" i="5"/>
  <c r="K23" i="5"/>
  <c r="J23" i="5"/>
  <c r="I23" i="5"/>
  <c r="M23" i="5"/>
  <c r="L23" i="5"/>
  <c r="U14" i="5"/>
  <c r="T14" i="5"/>
  <c r="S14" i="5"/>
  <c r="W14" i="5"/>
  <c r="V14" i="5"/>
  <c r="L110" i="3"/>
  <c r="K110" i="3"/>
  <c r="J110" i="3"/>
  <c r="I121" i="3"/>
  <c r="L105" i="3"/>
  <c r="K105" i="3"/>
  <c r="J105" i="3"/>
  <c r="I116" i="3"/>
  <c r="L100" i="3"/>
  <c r="K100" i="3"/>
  <c r="J100" i="3"/>
  <c r="L95" i="3"/>
  <c r="K95" i="3"/>
  <c r="J95" i="3"/>
  <c r="L90" i="3"/>
  <c r="K90" i="3"/>
  <c r="J90" i="3"/>
  <c r="L85" i="3"/>
  <c r="K85" i="3"/>
  <c r="J85" i="3"/>
  <c r="L80" i="3"/>
  <c r="K80" i="3"/>
  <c r="J80" i="3"/>
  <c r="L69" i="3"/>
  <c r="K69" i="3"/>
  <c r="J69" i="3"/>
  <c r="L64" i="3"/>
  <c r="K64" i="3"/>
  <c r="J64" i="3"/>
  <c r="K50" i="3"/>
  <c r="J50" i="3"/>
  <c r="J279" i="8"/>
  <c r="J277" i="8"/>
  <c r="J275" i="8"/>
  <c r="J273" i="8"/>
  <c r="J169" i="8"/>
  <c r="J167" i="8"/>
  <c r="J165" i="8"/>
  <c r="J163" i="8"/>
  <c r="J235" i="8"/>
  <c r="J233" i="8"/>
  <c r="J231" i="8"/>
  <c r="J229" i="8"/>
  <c r="I249" i="8"/>
  <c r="J250" i="8" s="1"/>
  <c r="J283" i="8"/>
  <c r="J260" i="8"/>
  <c r="J237" i="8"/>
  <c r="J219" i="8"/>
  <c r="J214" i="8"/>
  <c r="J212" i="8"/>
  <c r="J210" i="8"/>
  <c r="J208" i="8"/>
  <c r="J196" i="8"/>
  <c r="J173" i="8"/>
  <c r="J238" i="8"/>
  <c r="J197" i="8"/>
  <c r="J188" i="8"/>
  <c r="J185" i="8"/>
  <c r="J166" i="8"/>
  <c r="J282" i="8"/>
  <c r="J241" i="8"/>
  <c r="J232" i="8"/>
  <c r="I73" i="8"/>
  <c r="J285" i="8"/>
  <c r="J276" i="8"/>
  <c r="J193" i="8"/>
  <c r="J263" i="8"/>
  <c r="J254" i="8"/>
  <c r="J207" i="8"/>
  <c r="J148" i="8"/>
  <c r="J146" i="8"/>
  <c r="J144" i="8"/>
  <c r="J142" i="8"/>
  <c r="J130" i="8"/>
  <c r="J107" i="8"/>
  <c r="I29" i="8"/>
  <c r="J30" i="8" s="1"/>
  <c r="J251" i="8"/>
  <c r="J168" i="8"/>
  <c r="J153" i="8"/>
  <c r="J215" i="8"/>
  <c r="J190" i="8"/>
  <c r="J187" i="8"/>
  <c r="J171" i="8"/>
  <c r="J125" i="8"/>
  <c r="J123" i="8"/>
  <c r="J121" i="8"/>
  <c r="J119" i="8"/>
  <c r="J259" i="8"/>
  <c r="J234" i="8"/>
  <c r="J218" i="8"/>
  <c r="I139" i="8"/>
  <c r="J140" i="8" s="1"/>
  <c r="J278" i="8"/>
  <c r="J262" i="8"/>
  <c r="J174" i="8"/>
  <c r="J150" i="8"/>
  <c r="J127" i="8"/>
  <c r="J109" i="8"/>
  <c r="J104" i="8"/>
  <c r="J102" i="8"/>
  <c r="J100" i="8"/>
  <c r="J98" i="8"/>
  <c r="J281" i="8"/>
  <c r="J256" i="8"/>
  <c r="J240" i="8"/>
  <c r="J209" i="8"/>
  <c r="J253" i="8"/>
  <c r="J170" i="8"/>
  <c r="J8" i="8"/>
  <c r="J284" i="8"/>
  <c r="J192" i="8"/>
  <c r="J189" i="8"/>
  <c r="I95" i="8"/>
  <c r="J96" i="8" s="1"/>
  <c r="J236" i="8"/>
  <c r="I205" i="8"/>
  <c r="J206" i="8" s="1"/>
  <c r="J195" i="8"/>
  <c r="J152" i="8"/>
  <c r="J129" i="8"/>
  <c r="J106" i="8"/>
  <c r="J280" i="8"/>
  <c r="J239" i="8"/>
  <c r="I183" i="8"/>
  <c r="J184" i="8" s="1"/>
  <c r="I51" i="8"/>
  <c r="J255" i="8"/>
  <c r="I227" i="8"/>
  <c r="J228" i="8" s="1"/>
  <c r="I271" i="8"/>
  <c r="J272" i="8" s="1"/>
  <c r="J261" i="8"/>
  <c r="J191" i="8"/>
  <c r="J186" i="8"/>
  <c r="J149" i="8"/>
  <c r="J131" i="8"/>
  <c r="J126" i="8"/>
  <c r="J124" i="8"/>
  <c r="J122" i="8"/>
  <c r="J120" i="8"/>
  <c r="J108" i="8"/>
  <c r="J274" i="8"/>
  <c r="J216" i="8"/>
  <c r="J103" i="8"/>
  <c r="J101" i="8"/>
  <c r="J99" i="8"/>
  <c r="J97" i="8"/>
  <c r="J252" i="8"/>
  <c r="J213" i="8"/>
  <c r="J194" i="8"/>
  <c r="J172" i="8"/>
  <c r="I117" i="8"/>
  <c r="J118" i="8" s="1"/>
  <c r="J257" i="8"/>
  <c r="J175" i="8"/>
  <c r="J151" i="8"/>
  <c r="J128" i="8"/>
  <c r="J105" i="8"/>
  <c r="J211" i="8"/>
  <c r="J141" i="8"/>
  <c r="G7" i="8"/>
  <c r="J164" i="8"/>
  <c r="I161" i="8"/>
  <c r="J162" i="8" s="1"/>
  <c r="J230" i="8"/>
  <c r="J147" i="8"/>
  <c r="J145" i="8"/>
  <c r="J143" i="8"/>
  <c r="J217" i="8"/>
  <c r="J258" i="8"/>
  <c r="L52" i="8"/>
  <c r="L58" i="8"/>
  <c r="L56" i="8"/>
  <c r="L54" i="8"/>
  <c r="L53" i="8"/>
  <c r="L59" i="8"/>
  <c r="L57" i="8"/>
  <c r="L55" i="8"/>
  <c r="L81" i="8"/>
  <c r="L79" i="8"/>
  <c r="L77" i="8"/>
  <c r="L75" i="8"/>
  <c r="L74" i="8"/>
  <c r="L80" i="8"/>
  <c r="L78" i="8"/>
  <c r="L76" i="8"/>
  <c r="L42" i="5"/>
  <c r="K42" i="5"/>
  <c r="J42" i="5"/>
  <c r="I42" i="5"/>
  <c r="M42" i="5"/>
  <c r="V32" i="5"/>
  <c r="U32" i="5"/>
  <c r="T32" i="5"/>
  <c r="S32" i="5"/>
  <c r="W32" i="5"/>
  <c r="L22" i="5"/>
  <c r="K22" i="5"/>
  <c r="J22" i="5"/>
  <c r="I22" i="5"/>
  <c r="M22" i="5"/>
  <c r="V13" i="5"/>
  <c r="U13" i="5"/>
  <c r="T13" i="5"/>
  <c r="S13" i="5"/>
  <c r="W13" i="5"/>
  <c r="F195" i="3"/>
  <c r="F190" i="3"/>
  <c r="H121" i="3"/>
  <c r="H116" i="3"/>
  <c r="K47" i="3"/>
  <c r="J47" i="3"/>
  <c r="H30" i="10"/>
  <c r="H43" i="10"/>
  <c r="H38" i="10"/>
  <c r="H36" i="10"/>
  <c r="H34" i="10"/>
  <c r="H32" i="10"/>
  <c r="E29" i="10"/>
  <c r="H40" i="10"/>
  <c r="H41" i="10"/>
  <c r="H35" i="10"/>
  <c r="H31" i="10"/>
  <c r="H39" i="10"/>
  <c r="H42" i="10"/>
  <c r="H37" i="10"/>
  <c r="H33" i="10"/>
  <c r="W51" i="5"/>
  <c r="V51" i="5"/>
  <c r="U51" i="5"/>
  <c r="T51" i="5"/>
  <c r="S51" i="5"/>
  <c r="M41" i="5"/>
  <c r="L41" i="5"/>
  <c r="K41" i="5"/>
  <c r="J41" i="5"/>
  <c r="I41" i="5"/>
  <c r="W31" i="5"/>
  <c r="V31" i="5"/>
  <c r="U31" i="5"/>
  <c r="T31" i="5"/>
  <c r="S31" i="5"/>
  <c r="M21" i="5"/>
  <c r="L21" i="5"/>
  <c r="K21" i="5"/>
  <c r="J21" i="5"/>
  <c r="I21" i="5"/>
  <c r="W12" i="5"/>
  <c r="V12" i="5"/>
  <c r="U12" i="5"/>
  <c r="T12" i="5"/>
  <c r="S12" i="5"/>
  <c r="E195" i="3"/>
  <c r="E190" i="3"/>
  <c r="L145" i="3"/>
  <c r="K145" i="3"/>
  <c r="J145" i="3"/>
  <c r="L140" i="3"/>
  <c r="K140" i="3"/>
  <c r="J140" i="3"/>
  <c r="L135" i="3"/>
  <c r="K135" i="3"/>
  <c r="J135" i="3"/>
  <c r="G121" i="3"/>
  <c r="G116" i="3"/>
  <c r="K44" i="3"/>
  <c r="J44" i="3"/>
  <c r="L36" i="3"/>
  <c r="K36" i="3"/>
  <c r="J36" i="3"/>
  <c r="L31" i="3"/>
  <c r="K31" i="3"/>
  <c r="J31" i="3"/>
  <c r="L26" i="3"/>
  <c r="K26" i="3"/>
  <c r="J26" i="3"/>
  <c r="L21" i="3"/>
  <c r="K21" i="3"/>
  <c r="J21" i="3"/>
  <c r="L16" i="3"/>
  <c r="K16" i="3"/>
  <c r="J16" i="3"/>
  <c r="L11" i="3"/>
  <c r="K11" i="3"/>
  <c r="J11" i="3"/>
  <c r="E69" i="2"/>
  <c r="L63" i="2"/>
  <c r="W50" i="5"/>
  <c r="V50" i="5"/>
  <c r="U50" i="5"/>
  <c r="T50" i="5"/>
  <c r="S50" i="5"/>
  <c r="M40" i="5"/>
  <c r="L40" i="5"/>
  <c r="K40" i="5"/>
  <c r="J40" i="5"/>
  <c r="I40" i="5"/>
  <c r="W30" i="5"/>
  <c r="V30" i="5"/>
  <c r="U30" i="5"/>
  <c r="T30" i="5"/>
  <c r="S30" i="5"/>
  <c r="M20" i="5"/>
  <c r="L20" i="5"/>
  <c r="K20" i="5"/>
  <c r="J20" i="5"/>
  <c r="I20" i="5"/>
  <c r="W11" i="5"/>
  <c r="V11" i="5"/>
  <c r="U11" i="5"/>
  <c r="T11" i="5"/>
  <c r="S11" i="5"/>
  <c r="K61" i="3"/>
  <c r="J61" i="3"/>
  <c r="K41" i="3"/>
  <c r="J41" i="3"/>
  <c r="W49" i="5"/>
  <c r="V49" i="5"/>
  <c r="U49" i="5"/>
  <c r="T49" i="5"/>
  <c r="S49" i="5"/>
  <c r="M39" i="5"/>
  <c r="L39" i="5"/>
  <c r="K39" i="5"/>
  <c r="J39" i="5"/>
  <c r="I39" i="5"/>
  <c r="W29" i="5"/>
  <c r="V29" i="5"/>
  <c r="U29" i="5"/>
  <c r="T29" i="5"/>
  <c r="S29" i="5"/>
  <c r="W10" i="5"/>
  <c r="V10" i="5"/>
  <c r="U10" i="5"/>
  <c r="T10" i="5"/>
  <c r="S10" i="5"/>
  <c r="L112" i="3"/>
  <c r="K112" i="3"/>
  <c r="J112" i="3"/>
  <c r="I123" i="3"/>
  <c r="I118" i="3"/>
  <c r="L107" i="3"/>
  <c r="K107" i="3"/>
  <c r="J107" i="3"/>
  <c r="L102" i="3"/>
  <c r="K102" i="3"/>
  <c r="J102" i="3"/>
  <c r="I113" i="3"/>
  <c r="L97" i="3"/>
  <c r="K97" i="3"/>
  <c r="J97" i="3"/>
  <c r="L92" i="3"/>
  <c r="K92" i="3"/>
  <c r="J92" i="3"/>
  <c r="L87" i="3"/>
  <c r="K87" i="3"/>
  <c r="J87" i="3"/>
  <c r="L82" i="3"/>
  <c r="K82" i="3"/>
  <c r="J82" i="3"/>
  <c r="W48" i="5"/>
  <c r="V48" i="5"/>
  <c r="U48" i="5"/>
  <c r="T48" i="5"/>
  <c r="S48" i="5"/>
  <c r="W28" i="5"/>
  <c r="V28" i="5"/>
  <c r="U28" i="5"/>
  <c r="T28" i="5"/>
  <c r="S28" i="5"/>
  <c r="W47" i="5"/>
  <c r="V47" i="5"/>
  <c r="U47" i="5"/>
  <c r="T47" i="5"/>
  <c r="S47" i="5"/>
  <c r="M37" i="5"/>
  <c r="L37" i="5"/>
  <c r="K37" i="5"/>
  <c r="J37" i="5"/>
  <c r="I37" i="5"/>
  <c r="W27" i="5"/>
  <c r="V27" i="5"/>
  <c r="U27" i="5"/>
  <c r="T27" i="5"/>
  <c r="S27" i="5"/>
  <c r="M17" i="5"/>
  <c r="L17" i="5"/>
  <c r="K17" i="5"/>
  <c r="J17" i="5"/>
  <c r="I17" i="5"/>
  <c r="W8" i="5"/>
  <c r="V8" i="5"/>
  <c r="U8" i="5"/>
  <c r="T8" i="5"/>
  <c r="S8" i="5"/>
  <c r="E192" i="3"/>
  <c r="E187" i="3"/>
  <c r="L142" i="3"/>
  <c r="K142" i="3"/>
  <c r="J142" i="3"/>
  <c r="L137" i="3"/>
  <c r="K137" i="3"/>
  <c r="J137" i="3"/>
  <c r="G123" i="3"/>
  <c r="G118" i="3"/>
  <c r="G113" i="3"/>
  <c r="K52" i="3"/>
  <c r="J52" i="3"/>
  <c r="L38" i="3"/>
  <c r="K38" i="3"/>
  <c r="J38" i="3"/>
  <c r="L33" i="3"/>
  <c r="K33" i="3"/>
  <c r="J33" i="3"/>
  <c r="L28" i="3"/>
  <c r="K28" i="3"/>
  <c r="J28" i="3"/>
  <c r="L23" i="3"/>
  <c r="J23" i="3"/>
  <c r="K23" i="3"/>
  <c r="L18" i="3"/>
  <c r="K18" i="3"/>
  <c r="J18" i="3"/>
  <c r="L13" i="3"/>
  <c r="K13" i="3"/>
  <c r="J13" i="3"/>
  <c r="L8" i="3"/>
  <c r="K8" i="3"/>
  <c r="J8" i="3"/>
  <c r="L73" i="2"/>
  <c r="I68" i="2"/>
  <c r="L65" i="2"/>
  <c r="L60" i="2"/>
  <c r="W46" i="5"/>
  <c r="V46" i="5"/>
  <c r="U46" i="5"/>
  <c r="T46" i="5"/>
  <c r="S46" i="5"/>
  <c r="M36" i="5"/>
  <c r="L36" i="5"/>
  <c r="K36" i="5"/>
  <c r="J36" i="5"/>
  <c r="I36" i="5"/>
  <c r="W26" i="5"/>
  <c r="V26" i="5"/>
  <c r="U26" i="5"/>
  <c r="T26" i="5"/>
  <c r="S26" i="5"/>
  <c r="W7" i="5"/>
  <c r="V7" i="5"/>
  <c r="U7" i="5"/>
  <c r="T7" i="5"/>
  <c r="S7" i="5"/>
  <c r="J49" i="3"/>
  <c r="K49" i="3"/>
  <c r="H68" i="2"/>
  <c r="W45" i="5"/>
  <c r="V45" i="5"/>
  <c r="U45" i="5"/>
  <c r="T45" i="5"/>
  <c r="S45" i="5"/>
  <c r="W25" i="5"/>
  <c r="V25" i="5"/>
  <c r="U25" i="5"/>
  <c r="T25" i="5"/>
  <c r="S25" i="5"/>
  <c r="L109" i="3"/>
  <c r="K109" i="3"/>
  <c r="I120" i="3"/>
  <c r="J109" i="3"/>
  <c r="I115" i="3"/>
  <c r="L104" i="3"/>
  <c r="K104" i="3"/>
  <c r="J104" i="3"/>
  <c r="L99" i="3"/>
  <c r="K99" i="3"/>
  <c r="J99" i="3"/>
  <c r="K94" i="3"/>
  <c r="J94" i="3"/>
  <c r="L94" i="3"/>
  <c r="K89" i="3"/>
  <c r="J89" i="3"/>
  <c r="L89" i="3"/>
  <c r="K84" i="3"/>
  <c r="J84" i="3"/>
  <c r="L84" i="3"/>
  <c r="M34" i="5"/>
  <c r="L34" i="5"/>
  <c r="K34" i="5"/>
  <c r="J34" i="5"/>
  <c r="I34" i="5"/>
  <c r="W24" i="5"/>
  <c r="V24" i="5"/>
  <c r="U24" i="5"/>
  <c r="T24" i="5"/>
  <c r="S24" i="5"/>
  <c r="M15" i="5"/>
  <c r="L15" i="5"/>
  <c r="K15" i="5"/>
  <c r="J15" i="5"/>
  <c r="I15" i="5"/>
  <c r="F194" i="3"/>
  <c r="F189" i="3"/>
  <c r="H120" i="3"/>
  <c r="H115" i="3"/>
  <c r="K43" i="3"/>
  <c r="J43" i="3"/>
  <c r="W43" i="5"/>
  <c r="V43" i="5"/>
  <c r="U43" i="5"/>
  <c r="T43" i="5"/>
  <c r="S43" i="5"/>
  <c r="M33" i="5"/>
  <c r="L33" i="5"/>
  <c r="K33" i="5"/>
  <c r="J33" i="5"/>
  <c r="I33" i="5"/>
  <c r="W23" i="5"/>
  <c r="V23" i="5"/>
  <c r="U23" i="5"/>
  <c r="T23" i="5"/>
  <c r="S23" i="5"/>
  <c r="M14" i="5"/>
  <c r="L14" i="5"/>
  <c r="K14" i="5"/>
  <c r="J14" i="5"/>
  <c r="I14" i="5"/>
  <c r="E194" i="3"/>
  <c r="L144" i="3"/>
  <c r="K144" i="3"/>
  <c r="J144" i="3"/>
  <c r="L139" i="3"/>
  <c r="K139" i="3"/>
  <c r="J139" i="3"/>
  <c r="G120" i="3"/>
  <c r="G115" i="3"/>
  <c r="J60" i="3"/>
  <c r="K60" i="3"/>
  <c r="J40" i="3"/>
  <c r="K40" i="3"/>
  <c r="L35" i="3"/>
  <c r="J35" i="3"/>
  <c r="K35" i="3"/>
  <c r="L30" i="3"/>
  <c r="J30" i="3"/>
  <c r="K30" i="3"/>
  <c r="L25" i="3"/>
  <c r="J25" i="3"/>
  <c r="K25" i="3"/>
  <c r="L20" i="3"/>
  <c r="J20" i="3"/>
  <c r="K20" i="3"/>
  <c r="K35" i="6"/>
  <c r="J35" i="6"/>
  <c r="I35" i="6"/>
  <c r="J9" i="6"/>
  <c r="K9" i="6"/>
  <c r="I9" i="6"/>
  <c r="L215" i="3"/>
  <c r="K215" i="3"/>
  <c r="J215" i="3"/>
  <c r="E117" i="3"/>
  <c r="I20" i="6"/>
  <c r="K20" i="6"/>
  <c r="J20" i="6"/>
  <c r="K28" i="6"/>
  <c r="J28" i="6"/>
  <c r="I28" i="6"/>
  <c r="K14" i="6"/>
  <c r="J14" i="6"/>
  <c r="I14" i="6"/>
  <c r="K21" i="6"/>
  <c r="J21" i="6"/>
  <c r="I21" i="6"/>
  <c r="K8" i="6"/>
  <c r="J8" i="6"/>
  <c r="I8" i="6"/>
  <c r="K33" i="6"/>
  <c r="J33" i="6"/>
  <c r="I33" i="6"/>
  <c r="K16" i="6"/>
  <c r="J16" i="6"/>
  <c r="I16" i="6"/>
  <c r="K19" i="6"/>
  <c r="J19" i="6"/>
  <c r="I19" i="6"/>
  <c r="K26" i="6"/>
  <c r="J26" i="6"/>
  <c r="I26" i="6"/>
  <c r="K46" i="6"/>
  <c r="I46" i="6"/>
  <c r="J46" i="6"/>
  <c r="K41" i="6"/>
  <c r="J41" i="6"/>
  <c r="I41" i="6"/>
  <c r="K13" i="6"/>
  <c r="J13" i="6"/>
  <c r="I13" i="6"/>
  <c r="I7" i="6"/>
  <c r="K7" i="6"/>
  <c r="J7" i="6"/>
  <c r="I34" i="6"/>
  <c r="K34" i="6"/>
  <c r="J34" i="6"/>
  <c r="I47" i="6"/>
  <c r="J47" i="6"/>
  <c r="K47" i="6"/>
  <c r="K27" i="6"/>
  <c r="J27" i="6"/>
  <c r="I27" i="6"/>
  <c r="K40" i="6"/>
  <c r="J40" i="6"/>
  <c r="I40" i="6"/>
  <c r="K52" i="6"/>
  <c r="J52" i="6"/>
  <c r="I52" i="6"/>
  <c r="K25" i="6"/>
  <c r="J25" i="6"/>
  <c r="I25" i="6"/>
  <c r="K45" i="6"/>
  <c r="J45" i="6"/>
  <c r="I45" i="6"/>
  <c r="K11" i="6"/>
  <c r="J11" i="6"/>
  <c r="I11" i="6"/>
  <c r="K18" i="6"/>
  <c r="J18" i="6"/>
  <c r="I18" i="6"/>
  <c r="K38" i="6"/>
  <c r="J38" i="6"/>
  <c r="I38" i="6"/>
  <c r="K31" i="6"/>
  <c r="J31" i="6"/>
  <c r="I31" i="6"/>
  <c r="K51" i="6"/>
  <c r="J51" i="6"/>
  <c r="I51" i="6"/>
  <c r="K24" i="6"/>
  <c r="J24" i="6"/>
  <c r="I24" i="6"/>
  <c r="K44" i="6"/>
  <c r="J44" i="6"/>
  <c r="I44" i="6"/>
  <c r="K10" i="6"/>
  <c r="J10" i="6"/>
  <c r="I10" i="6"/>
  <c r="K17" i="6"/>
  <c r="J17" i="6"/>
  <c r="I17" i="6"/>
  <c r="K37" i="6"/>
  <c r="J37" i="6"/>
  <c r="I37" i="6"/>
  <c r="K30" i="6"/>
  <c r="J30" i="6"/>
  <c r="I30" i="6"/>
  <c r="K50" i="6"/>
  <c r="J50" i="6"/>
  <c r="I50" i="6"/>
  <c r="K23" i="6"/>
  <c r="J23" i="6"/>
  <c r="I23" i="6"/>
  <c r="K43" i="6"/>
  <c r="J43" i="6"/>
  <c r="I43" i="6"/>
  <c r="J36" i="6"/>
  <c r="I36" i="6"/>
  <c r="K36" i="6"/>
  <c r="I29" i="6"/>
  <c r="K29" i="6"/>
  <c r="J29" i="6"/>
  <c r="I49" i="6"/>
  <c r="K49" i="6"/>
  <c r="J49" i="6"/>
  <c r="K15" i="6"/>
  <c r="J15" i="6"/>
  <c r="I15" i="6"/>
  <c r="K22" i="6"/>
  <c r="J22" i="6"/>
  <c r="I22" i="6"/>
  <c r="K42" i="6"/>
  <c r="J42" i="6"/>
  <c r="I42" i="6"/>
  <c r="W21" i="5"/>
  <c r="V21" i="5"/>
  <c r="U21" i="5"/>
  <c r="T21" i="5"/>
  <c r="S21" i="5"/>
  <c r="F115" i="3"/>
  <c r="L24" i="2"/>
  <c r="L32" i="2"/>
  <c r="G69" i="2"/>
  <c r="L34" i="2"/>
  <c r="H196" i="3"/>
  <c r="L37" i="2"/>
  <c r="L13" i="2"/>
  <c r="L8" i="2"/>
  <c r="I42" i="2"/>
  <c r="L39" i="2"/>
  <c r="G196" i="3"/>
  <c r="I188" i="3"/>
  <c r="L177" i="3"/>
  <c r="K177" i="3"/>
  <c r="J177" i="3"/>
  <c r="L155" i="3"/>
  <c r="K155" i="3"/>
  <c r="J155" i="3"/>
  <c r="L160" i="3"/>
  <c r="K160" i="3"/>
  <c r="J160" i="3"/>
  <c r="L165" i="3"/>
  <c r="K165" i="3"/>
  <c r="J165" i="3"/>
  <c r="L170" i="3"/>
  <c r="K170" i="3"/>
  <c r="J170" i="3"/>
  <c r="I186" i="3"/>
  <c r="L175" i="3"/>
  <c r="K175" i="3"/>
  <c r="J175" i="3"/>
  <c r="I191" i="3"/>
  <c r="L180" i="3"/>
  <c r="K180" i="3"/>
  <c r="J180" i="3"/>
  <c r="L185" i="3"/>
  <c r="K185" i="3"/>
  <c r="J185" i="3"/>
  <c r="I196" i="3"/>
  <c r="L208" i="3"/>
  <c r="K208" i="3"/>
  <c r="J208" i="3"/>
  <c r="L213" i="3"/>
  <c r="K213" i="3"/>
  <c r="J213" i="3"/>
  <c r="L218" i="3"/>
  <c r="K218" i="3"/>
  <c r="J218" i="3"/>
  <c r="L153" i="3"/>
  <c r="K153" i="3"/>
  <c r="J153" i="3"/>
  <c r="L158" i="3"/>
  <c r="K158" i="3"/>
  <c r="J158" i="3"/>
  <c r="L163" i="3"/>
  <c r="K163" i="3"/>
  <c r="J163" i="3"/>
  <c r="L168" i="3"/>
  <c r="K168" i="3"/>
  <c r="J168" i="3"/>
  <c r="L173" i="3"/>
  <c r="K173" i="3"/>
  <c r="J173" i="3"/>
  <c r="I189" i="3"/>
  <c r="L178" i="3"/>
  <c r="K178" i="3"/>
  <c r="J178" i="3"/>
  <c r="L183" i="3"/>
  <c r="K183" i="3"/>
  <c r="J183" i="3"/>
  <c r="I194" i="3"/>
  <c r="L211" i="3"/>
  <c r="K211" i="3"/>
  <c r="J211" i="3"/>
  <c r="L216" i="3"/>
  <c r="K216" i="3"/>
  <c r="J216" i="3"/>
  <c r="L156" i="3"/>
  <c r="K156" i="3"/>
  <c r="J156" i="3"/>
  <c r="L161" i="3"/>
  <c r="K161" i="3"/>
  <c r="J161" i="3"/>
  <c r="L166" i="3"/>
  <c r="K166" i="3"/>
  <c r="J166" i="3"/>
  <c r="L171" i="3"/>
  <c r="K171" i="3"/>
  <c r="J171" i="3"/>
  <c r="L176" i="3"/>
  <c r="K176" i="3"/>
  <c r="J176" i="3"/>
  <c r="I187" i="3"/>
  <c r="L181" i="3"/>
  <c r="I192" i="3"/>
  <c r="K181" i="3"/>
  <c r="J181" i="3"/>
  <c r="L209" i="3"/>
  <c r="K209" i="3"/>
  <c r="J209" i="3"/>
  <c r="L214" i="3"/>
  <c r="K214" i="3"/>
  <c r="J214" i="3"/>
  <c r="J154" i="3"/>
  <c r="K154" i="3"/>
  <c r="L154" i="3"/>
  <c r="J159" i="3"/>
  <c r="L159" i="3"/>
  <c r="K159" i="3"/>
  <c r="J164" i="3"/>
  <c r="L164" i="3"/>
  <c r="K164" i="3"/>
  <c r="J169" i="3"/>
  <c r="L169" i="3"/>
  <c r="K169" i="3"/>
  <c r="J174" i="3"/>
  <c r="L174" i="3"/>
  <c r="K174" i="3"/>
  <c r="J179" i="3"/>
  <c r="K179" i="3"/>
  <c r="L179" i="3"/>
  <c r="I190" i="3"/>
  <c r="J184" i="3"/>
  <c r="I195" i="3"/>
  <c r="L184" i="3"/>
  <c r="K184" i="3"/>
  <c r="F68" i="2"/>
  <c r="F69" i="2"/>
  <c r="H188" i="3"/>
  <c r="H189" i="3"/>
  <c r="H194" i="3"/>
  <c r="H187" i="3"/>
  <c r="H192" i="3"/>
  <c r="H190" i="3"/>
  <c r="H195" i="3"/>
  <c r="F122" i="3"/>
  <c r="L49" i="2"/>
  <c r="L50" i="2"/>
  <c r="L40" i="2"/>
  <c r="I43" i="2"/>
  <c r="W20" i="5"/>
  <c r="V20" i="5"/>
  <c r="U20" i="5"/>
  <c r="T20" i="5"/>
  <c r="S20" i="5"/>
  <c r="G188" i="3"/>
  <c r="G189" i="3"/>
  <c r="G194" i="3"/>
  <c r="G187" i="3"/>
  <c r="G192" i="3"/>
  <c r="G190" i="3"/>
  <c r="G195" i="3"/>
  <c r="W17" i="5"/>
  <c r="V17" i="5"/>
  <c r="U17" i="5"/>
  <c r="T17" i="5"/>
  <c r="S17" i="5"/>
  <c r="F120" i="3"/>
  <c r="S17" i="6"/>
  <c r="R17" i="6"/>
  <c r="Q17" i="6"/>
  <c r="S21" i="6"/>
  <c r="R21" i="6"/>
  <c r="Q21" i="6"/>
  <c r="S19" i="6"/>
  <c r="R19" i="6"/>
  <c r="Q19" i="6"/>
  <c r="H42" i="2"/>
  <c r="H64" i="10"/>
  <c r="H59" i="10"/>
  <c r="H57" i="10"/>
  <c r="H55" i="10"/>
  <c r="H53" i="10"/>
  <c r="H61" i="10"/>
  <c r="H63" i="10"/>
  <c r="H52" i="10"/>
  <c r="H65" i="10"/>
  <c r="H60" i="10"/>
  <c r="H58" i="10"/>
  <c r="H62" i="10"/>
  <c r="H56" i="10"/>
  <c r="E51" i="10"/>
  <c r="H54" i="10"/>
  <c r="M18" i="5"/>
  <c r="L18" i="5"/>
  <c r="K18" i="5"/>
  <c r="J18" i="5"/>
  <c r="I18" i="5"/>
  <c r="M19" i="5"/>
  <c r="L19" i="5"/>
  <c r="K19" i="5"/>
  <c r="J19" i="5"/>
  <c r="I19" i="5"/>
  <c r="F113" i="3"/>
  <c r="F118" i="3"/>
  <c r="F123" i="3"/>
  <c r="F116" i="3"/>
  <c r="F121" i="3"/>
  <c r="F114" i="3"/>
  <c r="F119" i="3"/>
  <c r="E113" i="3"/>
  <c r="E118" i="3"/>
  <c r="E123" i="3"/>
  <c r="E116" i="3"/>
  <c r="E121" i="3"/>
  <c r="E114" i="3"/>
  <c r="E119" i="3"/>
  <c r="G42" i="2"/>
  <c r="H43" i="2"/>
  <c r="L51" i="2"/>
  <c r="F42" i="2"/>
  <c r="E42" i="2"/>
  <c r="L36" i="2"/>
  <c r="B12" i="11"/>
  <c r="D11" i="11"/>
  <c r="G43" i="2"/>
  <c r="L38" i="2"/>
  <c r="L33" i="2"/>
  <c r="F43" i="2"/>
  <c r="F18" i="10"/>
  <c r="F20" i="10"/>
  <c r="F15" i="10"/>
  <c r="F13" i="10"/>
  <c r="F11" i="10"/>
  <c r="F9" i="10"/>
  <c r="F17" i="10"/>
  <c r="F21" i="10"/>
  <c r="F16" i="10"/>
  <c r="F8" i="10"/>
  <c r="F12" i="10"/>
  <c r="F19" i="10"/>
  <c r="C7" i="10"/>
  <c r="F14" i="10"/>
  <c r="F10" i="10"/>
  <c r="E43" i="2"/>
  <c r="L35" i="2"/>
  <c r="N16" i="45"/>
  <c r="M16" i="45"/>
  <c r="L16" i="45"/>
  <c r="J16" i="45"/>
  <c r="I16" i="45"/>
  <c r="H16" i="45"/>
  <c r="T16" i="44"/>
  <c r="S16" i="44"/>
  <c r="R16" i="44"/>
  <c r="Q16" i="44"/>
  <c r="P16" i="44"/>
  <c r="O146" i="45"/>
  <c r="N146" i="45"/>
  <c r="M146" i="45"/>
  <c r="L146" i="45"/>
  <c r="N16" i="44"/>
  <c r="M16" i="44"/>
  <c r="L16" i="44"/>
  <c r="I146" i="45"/>
  <c r="H146" i="45"/>
  <c r="K146" i="45" s="1"/>
  <c r="G146" i="45"/>
  <c r="N146" i="43"/>
  <c r="M146" i="43"/>
  <c r="L146" i="43"/>
  <c r="O146" i="43"/>
  <c r="T11" i="39"/>
  <c r="S11" i="39"/>
  <c r="R11" i="39"/>
  <c r="Q11" i="39"/>
  <c r="P11" i="39"/>
  <c r="O11" i="39"/>
  <c r="T16" i="45"/>
  <c r="S16" i="45"/>
  <c r="R16" i="45"/>
  <c r="Q16" i="45"/>
  <c r="P16" i="45"/>
  <c r="K11" i="39"/>
  <c r="M11" i="39"/>
  <c r="L11" i="39"/>
  <c r="J16" i="44"/>
  <c r="I16" i="44"/>
  <c r="H16" i="44"/>
  <c r="I11" i="39"/>
  <c r="G11" i="39"/>
  <c r="H11" i="39"/>
  <c r="I146" i="43"/>
  <c r="G146" i="43"/>
  <c r="H146" i="43"/>
  <c r="K146" i="43" s="1"/>
  <c r="N129" i="39"/>
  <c r="M129" i="39"/>
  <c r="L129" i="39"/>
  <c r="O129" i="39"/>
  <c r="K129" i="39"/>
  <c r="H129" i="39"/>
  <c r="G129" i="39"/>
  <c r="I129" i="39"/>
  <c r="K62" i="27"/>
  <c r="J62" i="27"/>
  <c r="I62" i="27"/>
  <c r="K20" i="27"/>
  <c r="J20" i="27"/>
  <c r="I20" i="27"/>
  <c r="K90" i="26"/>
  <c r="J90" i="26"/>
  <c r="I90" i="26"/>
  <c r="J34" i="26"/>
  <c r="I34" i="26"/>
  <c r="K34" i="26"/>
  <c r="K118" i="26"/>
  <c r="J118" i="26"/>
  <c r="I118" i="26"/>
  <c r="J104" i="26"/>
  <c r="I104" i="26"/>
  <c r="K104" i="26"/>
  <c r="L21" i="22"/>
  <c r="K21" i="22"/>
  <c r="J21" i="22"/>
  <c r="K20" i="26"/>
  <c r="J20" i="26"/>
  <c r="I20" i="26"/>
  <c r="J49" i="22"/>
  <c r="L49" i="22"/>
  <c r="K49" i="22"/>
  <c r="K160" i="27"/>
  <c r="J160" i="27"/>
  <c r="I160" i="27"/>
  <c r="J133" i="22"/>
  <c r="L133" i="22"/>
  <c r="K133" i="22"/>
  <c r="J161" i="22"/>
  <c r="L161" i="22"/>
  <c r="K161" i="22"/>
  <c r="L63" i="22"/>
  <c r="K63" i="22"/>
  <c r="J63" i="22"/>
  <c r="R22" i="21"/>
  <c r="Q22" i="21"/>
  <c r="L35" i="22"/>
  <c r="K35" i="22"/>
  <c r="J35" i="22"/>
  <c r="I78" i="21"/>
  <c r="H78" i="21"/>
  <c r="X21" i="22"/>
  <c r="W21" i="22"/>
  <c r="V21" i="22"/>
  <c r="J35" i="19"/>
  <c r="H35" i="19"/>
  <c r="H91" i="19"/>
  <c r="J91" i="19"/>
  <c r="H37" i="19"/>
  <c r="J37" i="19"/>
  <c r="R21" i="19"/>
  <c r="P21" i="19"/>
  <c r="X35" i="19"/>
  <c r="X49" i="19"/>
  <c r="P23" i="19"/>
  <c r="R23" i="19"/>
  <c r="J133" i="19"/>
  <c r="H133" i="19"/>
  <c r="X9" i="19"/>
  <c r="X91" i="19"/>
  <c r="J9" i="19"/>
  <c r="H9" i="19"/>
  <c r="J51" i="19"/>
  <c r="H51" i="19"/>
  <c r="J34" i="18"/>
  <c r="I34" i="18"/>
  <c r="I48" i="18"/>
  <c r="J48" i="18"/>
  <c r="J8" i="18"/>
  <c r="I8" i="18"/>
  <c r="K37" i="17"/>
  <c r="J37" i="17"/>
  <c r="I37" i="17"/>
  <c r="J20" i="18"/>
  <c r="I20" i="18"/>
  <c r="J62" i="18"/>
  <c r="I62" i="18"/>
  <c r="K105" i="17"/>
  <c r="J105" i="17"/>
  <c r="I105" i="17"/>
  <c r="J22" i="18"/>
  <c r="I22" i="18"/>
  <c r="R20" i="18"/>
  <c r="Q20" i="18"/>
  <c r="K161" i="17"/>
  <c r="J161" i="17"/>
  <c r="I161" i="17"/>
  <c r="K133" i="17"/>
  <c r="J133" i="17"/>
  <c r="I133" i="17"/>
  <c r="I21" i="17"/>
  <c r="K21" i="17"/>
  <c r="J21" i="17"/>
  <c r="I119" i="17"/>
  <c r="K119" i="17"/>
  <c r="J119" i="17"/>
  <c r="K35" i="17"/>
  <c r="J35" i="17"/>
  <c r="I35" i="17"/>
  <c r="K147" i="17"/>
  <c r="J147" i="17"/>
  <c r="I147" i="17"/>
  <c r="K93" i="17"/>
  <c r="J93" i="17"/>
  <c r="I93" i="17"/>
  <c r="K79" i="17"/>
  <c r="J79" i="17"/>
  <c r="I79" i="17"/>
  <c r="R48" i="18"/>
  <c r="Q48" i="18"/>
  <c r="K149" i="17"/>
  <c r="J149" i="17"/>
  <c r="I149" i="17"/>
  <c r="Q8" i="18"/>
  <c r="R8" i="18"/>
  <c r="J91" i="17"/>
  <c r="I91" i="17"/>
  <c r="K91" i="17"/>
  <c r="K49" i="17"/>
  <c r="J49" i="17"/>
  <c r="I49" i="17"/>
  <c r="I149" i="14"/>
  <c r="J149" i="14"/>
  <c r="I79" i="14"/>
  <c r="J79" i="14"/>
  <c r="K9" i="17"/>
  <c r="J9" i="17"/>
  <c r="I9" i="17"/>
  <c r="Y118" i="18"/>
  <c r="X118" i="18"/>
  <c r="J135" i="14"/>
  <c r="I135" i="14"/>
  <c r="K37" i="16"/>
  <c r="J37" i="16"/>
  <c r="I37" i="16"/>
  <c r="J65" i="17"/>
  <c r="I65" i="17"/>
  <c r="K65" i="17"/>
  <c r="K23" i="16"/>
  <c r="J23" i="16"/>
  <c r="I23" i="16"/>
  <c r="I76" i="18"/>
  <c r="J76" i="18"/>
  <c r="V21" i="16"/>
  <c r="U21" i="16"/>
  <c r="W21" i="16"/>
  <c r="J65" i="14"/>
  <c r="I65" i="14"/>
  <c r="I121" i="14"/>
  <c r="J121" i="14"/>
  <c r="J91" i="16"/>
  <c r="I91" i="16"/>
  <c r="K91" i="16"/>
  <c r="I51" i="14"/>
  <c r="J51" i="14"/>
  <c r="J37" i="14"/>
  <c r="I37" i="14"/>
  <c r="T23" i="14"/>
  <c r="S23" i="14"/>
  <c r="K135" i="17"/>
  <c r="J135" i="17"/>
  <c r="I135" i="17"/>
  <c r="J93" i="14"/>
  <c r="I93" i="14"/>
  <c r="K65" i="16"/>
  <c r="J65" i="16"/>
  <c r="I65" i="16"/>
  <c r="J23" i="14"/>
  <c r="I23" i="14"/>
  <c r="I163" i="14"/>
  <c r="J163" i="14"/>
  <c r="J62" i="13"/>
  <c r="I62" i="13"/>
  <c r="K62" i="13"/>
  <c r="K146" i="13"/>
  <c r="J146" i="13"/>
  <c r="I146" i="13"/>
  <c r="J107" i="14"/>
  <c r="I107" i="14"/>
  <c r="K128" i="3"/>
  <c r="J128" i="3"/>
  <c r="K117" i="3"/>
  <c r="J117" i="3"/>
  <c r="J122" i="3"/>
  <c r="K122" i="3"/>
  <c r="K133" i="3"/>
  <c r="J133" i="3"/>
  <c r="K125" i="3"/>
  <c r="J125" i="3"/>
  <c r="K114" i="3"/>
  <c r="J114" i="3"/>
  <c r="K193" i="3"/>
  <c r="J193" i="3"/>
  <c r="K204" i="3"/>
  <c r="J204" i="3"/>
  <c r="K119" i="3"/>
  <c r="J119" i="3"/>
  <c r="K130" i="3"/>
  <c r="J130" i="3"/>
  <c r="K112" i="16" l="1"/>
  <c r="K38" i="16"/>
  <c r="K99" i="16"/>
  <c r="K15" i="16"/>
  <c r="K12" i="16"/>
  <c r="K44" i="16"/>
  <c r="K24" i="16"/>
  <c r="K18" i="16"/>
  <c r="K83" i="16"/>
  <c r="K56" i="16"/>
  <c r="K68" i="16"/>
  <c r="K25" i="16"/>
  <c r="K123" i="16"/>
  <c r="K66" i="16"/>
  <c r="K61" i="16"/>
  <c r="K30" i="16"/>
  <c r="Y9" i="18"/>
  <c r="Y37" i="18"/>
  <c r="R43" i="19"/>
  <c r="R74" i="19"/>
  <c r="Y108" i="18"/>
  <c r="Y93" i="18"/>
  <c r="W17" i="17"/>
  <c r="Y114" i="18"/>
  <c r="R19" i="19"/>
  <c r="F74" i="30"/>
  <c r="W18" i="16"/>
  <c r="Y94" i="18"/>
  <c r="Y113" i="18"/>
  <c r="Y56" i="18"/>
  <c r="R90" i="19"/>
  <c r="R28" i="19"/>
  <c r="W19" i="16"/>
  <c r="Y51" i="18"/>
  <c r="R61" i="19"/>
  <c r="W14" i="16"/>
  <c r="Y85" i="18"/>
  <c r="Y25" i="18"/>
  <c r="Y70" i="18"/>
  <c r="R14" i="19"/>
  <c r="R15" i="19"/>
  <c r="R96" i="19"/>
  <c r="Y88" i="18"/>
  <c r="R17" i="19"/>
  <c r="R29" i="19"/>
  <c r="R59" i="19"/>
  <c r="R12" i="19"/>
  <c r="R13" i="19"/>
  <c r="R18" i="19"/>
  <c r="R45" i="19"/>
  <c r="R117" i="19"/>
  <c r="R24" i="19"/>
  <c r="K19" i="16"/>
  <c r="R58" i="19"/>
  <c r="W20" i="16"/>
  <c r="Y145" i="18"/>
  <c r="Y24" i="18"/>
  <c r="R48" i="19"/>
  <c r="R136" i="19"/>
  <c r="R44" i="19"/>
  <c r="R72" i="19"/>
  <c r="K87" i="16"/>
  <c r="Y27" i="18"/>
  <c r="Y38" i="18"/>
  <c r="W14" i="17"/>
  <c r="K95" i="16"/>
  <c r="R46" i="19"/>
  <c r="W13" i="16"/>
  <c r="W15" i="16"/>
  <c r="W12" i="16"/>
  <c r="W16" i="16"/>
  <c r="Y14" i="18"/>
  <c r="Y18" i="18"/>
  <c r="Y16" i="18"/>
  <c r="Y86" i="18"/>
  <c r="Y67" i="18"/>
  <c r="Y45" i="18"/>
  <c r="Y19" i="18"/>
  <c r="Y15" i="18"/>
  <c r="Y13" i="18"/>
  <c r="Y41" i="18"/>
  <c r="Y60" i="18"/>
  <c r="Y17" i="18"/>
  <c r="Y110" i="18"/>
  <c r="Y71" i="18"/>
  <c r="R39" i="19"/>
  <c r="R38" i="19"/>
  <c r="K10" i="16"/>
  <c r="Y23" i="18"/>
  <c r="Y84" i="18"/>
  <c r="R160" i="19"/>
  <c r="K143" i="44"/>
  <c r="D8" i="10"/>
  <c r="B13" i="11"/>
  <c r="D12" i="11"/>
  <c r="F64" i="10"/>
  <c r="F59" i="10"/>
  <c r="F57" i="10"/>
  <c r="F55" i="10"/>
  <c r="F53" i="10"/>
  <c r="F61" i="10"/>
  <c r="F63" i="10"/>
  <c r="F52" i="10"/>
  <c r="F62" i="10"/>
  <c r="F56" i="10"/>
  <c r="F60" i="10"/>
  <c r="C51" i="10"/>
  <c r="D52" i="10" s="1"/>
  <c r="F65" i="10"/>
  <c r="F58" i="10"/>
  <c r="F54" i="10"/>
  <c r="K206" i="3"/>
  <c r="J206" i="3"/>
  <c r="K195" i="3"/>
  <c r="J195" i="3"/>
  <c r="J190" i="3"/>
  <c r="K190" i="3"/>
  <c r="K201" i="3"/>
  <c r="J201" i="3"/>
  <c r="K203" i="3"/>
  <c r="J203" i="3"/>
  <c r="K192" i="3"/>
  <c r="J192" i="3"/>
  <c r="K187" i="3"/>
  <c r="J187" i="3"/>
  <c r="J198" i="3"/>
  <c r="K198" i="3"/>
  <c r="K205" i="3"/>
  <c r="J205" i="3"/>
  <c r="K194" i="3"/>
  <c r="J194" i="3"/>
  <c r="K200" i="3"/>
  <c r="J200" i="3"/>
  <c r="K189" i="3"/>
  <c r="J189" i="3"/>
  <c r="K196" i="3"/>
  <c r="J196" i="3"/>
  <c r="J207" i="3"/>
  <c r="K207" i="3"/>
  <c r="K202" i="3"/>
  <c r="J202" i="3"/>
  <c r="K191" i="3"/>
  <c r="J191" i="3"/>
  <c r="K197" i="3"/>
  <c r="J197" i="3"/>
  <c r="K186" i="3"/>
  <c r="J186" i="3"/>
  <c r="K199" i="3"/>
  <c r="J199" i="3"/>
  <c r="K188" i="3"/>
  <c r="J188" i="3"/>
  <c r="K126" i="3"/>
  <c r="J126" i="3"/>
  <c r="K115" i="3"/>
  <c r="J115" i="3"/>
  <c r="K131" i="3"/>
  <c r="J131" i="3"/>
  <c r="K120" i="3"/>
  <c r="J120" i="3"/>
  <c r="K113" i="3"/>
  <c r="J113" i="3"/>
  <c r="K124" i="3"/>
  <c r="J124" i="3"/>
  <c r="K129" i="3"/>
  <c r="J129" i="3"/>
  <c r="K118" i="3"/>
  <c r="J118" i="3"/>
  <c r="K134" i="3"/>
  <c r="J134" i="3"/>
  <c r="K123" i="3"/>
  <c r="J123" i="3"/>
  <c r="F43" i="10"/>
  <c r="F38" i="10"/>
  <c r="F36" i="10"/>
  <c r="F34" i="10"/>
  <c r="F32" i="10"/>
  <c r="C29" i="10"/>
  <c r="F40" i="10"/>
  <c r="F41" i="10"/>
  <c r="F35" i="10"/>
  <c r="F31" i="10"/>
  <c r="F39" i="10"/>
  <c r="F30" i="10"/>
  <c r="F42" i="10"/>
  <c r="F37" i="10"/>
  <c r="F33" i="10"/>
  <c r="H284" i="8"/>
  <c r="H261" i="8"/>
  <c r="H238" i="8"/>
  <c r="H215" i="8"/>
  <c r="H197" i="8"/>
  <c r="H192" i="8"/>
  <c r="H190" i="8"/>
  <c r="H188" i="8"/>
  <c r="H186" i="8"/>
  <c r="H174" i="8"/>
  <c r="H281" i="8"/>
  <c r="H263" i="8"/>
  <c r="H258" i="8"/>
  <c r="H256" i="8"/>
  <c r="H254" i="8"/>
  <c r="H252" i="8"/>
  <c r="H240" i="8"/>
  <c r="H217" i="8"/>
  <c r="H194" i="8"/>
  <c r="H171" i="8"/>
  <c r="G249" i="8"/>
  <c r="H250" i="8" s="1"/>
  <c r="H235" i="8"/>
  <c r="H233" i="8"/>
  <c r="H231" i="8"/>
  <c r="H229" i="8"/>
  <c r="H260" i="8"/>
  <c r="H219" i="8"/>
  <c r="H213" i="8"/>
  <c r="H210" i="8"/>
  <c r="H172" i="8"/>
  <c r="H169" i="8"/>
  <c r="H257" i="8"/>
  <c r="H175" i="8"/>
  <c r="H151" i="8"/>
  <c r="H128" i="8"/>
  <c r="H105" i="8"/>
  <c r="H185" i="8"/>
  <c r="H166" i="8"/>
  <c r="G73" i="8"/>
  <c r="H282" i="8"/>
  <c r="H279" i="8"/>
  <c r="H241" i="8"/>
  <c r="H232" i="8"/>
  <c r="H285" i="8"/>
  <c r="H276" i="8"/>
  <c r="H193" i="8"/>
  <c r="G29" i="8"/>
  <c r="H30" i="8" s="1"/>
  <c r="H237" i="8"/>
  <c r="H212" i="8"/>
  <c r="H207" i="8"/>
  <c r="H196" i="8"/>
  <c r="H153" i="8"/>
  <c r="H148" i="8"/>
  <c r="H146" i="8"/>
  <c r="H144" i="8"/>
  <c r="H142" i="8"/>
  <c r="H130" i="8"/>
  <c r="H107" i="8"/>
  <c r="H251" i="8"/>
  <c r="H168" i="8"/>
  <c r="H187" i="8"/>
  <c r="H163" i="8"/>
  <c r="G139" i="8"/>
  <c r="H140" i="8" s="1"/>
  <c r="H125" i="8"/>
  <c r="H123" i="8"/>
  <c r="H121" i="8"/>
  <c r="H119" i="8"/>
  <c r="H273" i="8"/>
  <c r="H259" i="8"/>
  <c r="H234" i="8"/>
  <c r="H218" i="8"/>
  <c r="H278" i="8"/>
  <c r="H262" i="8"/>
  <c r="H150" i="8"/>
  <c r="H127" i="8"/>
  <c r="H109" i="8"/>
  <c r="H104" i="8"/>
  <c r="H102" i="8"/>
  <c r="H100" i="8"/>
  <c r="H98" i="8"/>
  <c r="H214" i="8"/>
  <c r="H209" i="8"/>
  <c r="H8" i="8"/>
  <c r="H253" i="8"/>
  <c r="H170" i="8"/>
  <c r="H165" i="8"/>
  <c r="G95" i="8"/>
  <c r="H96" i="8" s="1"/>
  <c r="G205" i="8"/>
  <c r="H206" i="8" s="1"/>
  <c r="H189" i="8"/>
  <c r="H173" i="8"/>
  <c r="H280" i="8"/>
  <c r="H239" i="8"/>
  <c r="H283" i="8"/>
  <c r="G227" i="8"/>
  <c r="H228" i="8" s="1"/>
  <c r="H211" i="8"/>
  <c r="H208" i="8"/>
  <c r="H167" i="8"/>
  <c r="H147" i="8"/>
  <c r="H145" i="8"/>
  <c r="H143" i="8"/>
  <c r="H141" i="8"/>
  <c r="H191" i="8"/>
  <c r="G161" i="8"/>
  <c r="H162" i="8" s="1"/>
  <c r="H149" i="8"/>
  <c r="H131" i="8"/>
  <c r="H126" i="8"/>
  <c r="H124" i="8"/>
  <c r="H122" i="8"/>
  <c r="H120" i="8"/>
  <c r="H108" i="8"/>
  <c r="H277" i="8"/>
  <c r="H230" i="8"/>
  <c r="H164" i="8"/>
  <c r="H274" i="8"/>
  <c r="H216" i="8"/>
  <c r="G117" i="8"/>
  <c r="H118" i="8" s="1"/>
  <c r="H103" i="8"/>
  <c r="H101" i="8"/>
  <c r="H99" i="8"/>
  <c r="H97" i="8"/>
  <c r="H106" i="8"/>
  <c r="G51" i="8"/>
  <c r="H236" i="8"/>
  <c r="E7" i="8"/>
  <c r="H275" i="8"/>
  <c r="H195" i="8"/>
  <c r="H129" i="8"/>
  <c r="G271" i="8"/>
  <c r="H272" i="8" s="1"/>
  <c r="H152" i="8"/>
  <c r="H255" i="8"/>
  <c r="G183" i="8"/>
  <c r="H184" i="8" s="1"/>
  <c r="J61" i="8"/>
  <c r="J63" i="8"/>
  <c r="J52" i="8"/>
  <c r="J65" i="8"/>
  <c r="J60" i="8"/>
  <c r="J58" i="8"/>
  <c r="J56" i="8"/>
  <c r="J54" i="8"/>
  <c r="J87" i="8"/>
  <c r="J62" i="8"/>
  <c r="J53" i="8"/>
  <c r="J59" i="8"/>
  <c r="J64" i="8"/>
  <c r="J57" i="8"/>
  <c r="J55" i="8"/>
  <c r="J84" i="8"/>
  <c r="J86" i="8"/>
  <c r="J81" i="8"/>
  <c r="J79" i="8"/>
  <c r="J77" i="8"/>
  <c r="J75" i="8"/>
  <c r="J83" i="8"/>
  <c r="J85" i="8"/>
  <c r="J82" i="8"/>
  <c r="J80" i="8"/>
  <c r="J78" i="8"/>
  <c r="J76" i="8"/>
  <c r="J74" i="8"/>
  <c r="K116" i="3"/>
  <c r="J116" i="3"/>
  <c r="J127" i="3"/>
  <c r="K127" i="3"/>
  <c r="K132" i="3"/>
  <c r="J132" i="3"/>
  <c r="K121" i="3"/>
  <c r="J121" i="3"/>
  <c r="L72" i="2"/>
  <c r="L69" i="2"/>
  <c r="B35" i="11"/>
  <c r="D34" i="11"/>
  <c r="B81" i="11"/>
  <c r="D80" i="11"/>
  <c r="B57" i="11"/>
  <c r="D56" i="11"/>
  <c r="H57" i="12"/>
  <c r="L53" i="12"/>
  <c r="K53" i="12"/>
  <c r="J53" i="12"/>
  <c r="I53" i="12"/>
  <c r="K54" i="12"/>
  <c r="J54" i="12"/>
  <c r="I54" i="12"/>
  <c r="L54" i="12"/>
  <c r="L55" i="12"/>
  <c r="K55" i="12"/>
  <c r="J55" i="12"/>
  <c r="I55" i="12"/>
  <c r="L56" i="12"/>
  <c r="K56" i="12"/>
  <c r="J56" i="12"/>
  <c r="I56" i="12"/>
  <c r="V20" i="13"/>
  <c r="W20" i="13"/>
  <c r="U20" i="13"/>
  <c r="K90" i="13"/>
  <c r="J90" i="13"/>
  <c r="I90" i="13"/>
  <c r="K104" i="13"/>
  <c r="J104" i="13"/>
  <c r="I104" i="13"/>
  <c r="K118" i="13"/>
  <c r="I118" i="13"/>
  <c r="J118" i="13"/>
  <c r="J20" i="13"/>
  <c r="I20" i="13"/>
  <c r="K20" i="13"/>
  <c r="K34" i="13"/>
  <c r="J34" i="13"/>
  <c r="I34" i="13"/>
  <c r="K132" i="13"/>
  <c r="J132" i="13"/>
  <c r="I132" i="13"/>
  <c r="K48" i="13"/>
  <c r="J48" i="13"/>
  <c r="I48" i="13"/>
  <c r="K160" i="13"/>
  <c r="J160" i="13"/>
  <c r="I160" i="13"/>
  <c r="K76" i="13"/>
  <c r="J76" i="13"/>
  <c r="I76" i="13"/>
  <c r="M119" i="15"/>
  <c r="K119" i="15"/>
  <c r="J119" i="15"/>
  <c r="I119" i="15"/>
  <c r="L119" i="15"/>
  <c r="M35" i="15"/>
  <c r="L35" i="15"/>
  <c r="K35" i="15"/>
  <c r="J35" i="15"/>
  <c r="I35" i="15"/>
  <c r="M133" i="15"/>
  <c r="L133" i="15"/>
  <c r="J133" i="15"/>
  <c r="I133" i="15"/>
  <c r="K133" i="15"/>
  <c r="L91" i="15"/>
  <c r="K91" i="15"/>
  <c r="J91" i="15"/>
  <c r="M91" i="15"/>
  <c r="I91" i="15"/>
  <c r="L21" i="15"/>
  <c r="K21" i="15"/>
  <c r="J21" i="15"/>
  <c r="I21" i="15"/>
  <c r="M21" i="15"/>
  <c r="K161" i="15"/>
  <c r="I161" i="15"/>
  <c r="L161" i="15"/>
  <c r="J161" i="15"/>
  <c r="M161" i="15"/>
  <c r="I77" i="15"/>
  <c r="M77" i="15"/>
  <c r="L77" i="15"/>
  <c r="K77" i="15"/>
  <c r="J77" i="15"/>
  <c r="L147" i="15"/>
  <c r="J147" i="15"/>
  <c r="I147" i="15"/>
  <c r="M147" i="15"/>
  <c r="K147" i="15"/>
  <c r="M105" i="15"/>
  <c r="L105" i="15"/>
  <c r="K105" i="15"/>
  <c r="J105" i="15"/>
  <c r="I105" i="15"/>
  <c r="M49" i="15"/>
  <c r="L49" i="15"/>
  <c r="K49" i="15"/>
  <c r="J49" i="15"/>
  <c r="I49" i="15"/>
  <c r="Y21" i="15"/>
  <c r="X21" i="15"/>
  <c r="W21" i="15"/>
  <c r="L63" i="15"/>
  <c r="J63" i="15"/>
  <c r="M63" i="15"/>
  <c r="K63" i="15"/>
  <c r="I63" i="15"/>
  <c r="K51" i="16"/>
  <c r="J51" i="16"/>
  <c r="I51" i="16"/>
  <c r="I105" i="16"/>
  <c r="K105" i="16"/>
  <c r="J105" i="16"/>
  <c r="K147" i="16"/>
  <c r="J147" i="16"/>
  <c r="I147" i="16"/>
  <c r="I133" i="16"/>
  <c r="K133" i="16"/>
  <c r="J133" i="16"/>
  <c r="K79" i="16"/>
  <c r="J79" i="16"/>
  <c r="I79" i="16"/>
  <c r="J35" i="16"/>
  <c r="K35" i="16"/>
  <c r="I35" i="16"/>
  <c r="K121" i="16"/>
  <c r="J121" i="16"/>
  <c r="I121" i="16"/>
  <c r="K149" i="16"/>
  <c r="I149" i="16"/>
  <c r="J149" i="16"/>
  <c r="K93" i="16"/>
  <c r="J93" i="16"/>
  <c r="I93" i="16"/>
  <c r="K161" i="16"/>
  <c r="I161" i="16"/>
  <c r="J161" i="16"/>
  <c r="J119" i="16"/>
  <c r="K119" i="16"/>
  <c r="I119" i="16"/>
  <c r="K49" i="16"/>
  <c r="J49" i="16"/>
  <c r="I49" i="16"/>
  <c r="K107" i="16"/>
  <c r="J107" i="16"/>
  <c r="I107" i="16"/>
  <c r="K63" i="16"/>
  <c r="J63" i="16"/>
  <c r="I63" i="16"/>
  <c r="J135" i="16"/>
  <c r="I135" i="16"/>
  <c r="K135" i="16"/>
  <c r="W21" i="17"/>
  <c r="U21" i="17"/>
  <c r="V21" i="17"/>
  <c r="W9" i="17"/>
  <c r="V9" i="17"/>
  <c r="U9" i="17"/>
  <c r="I77" i="16"/>
  <c r="K77" i="16"/>
  <c r="J77" i="16"/>
  <c r="V9" i="16"/>
  <c r="W9" i="16"/>
  <c r="U9" i="16"/>
  <c r="J21" i="16"/>
  <c r="I21" i="16"/>
  <c r="K21" i="16"/>
  <c r="K9" i="16"/>
  <c r="J9" i="16"/>
  <c r="I9" i="16"/>
  <c r="R132" i="18"/>
  <c r="Q132" i="18"/>
  <c r="R146" i="18"/>
  <c r="Q146" i="18"/>
  <c r="R160" i="18"/>
  <c r="Q160" i="18"/>
  <c r="R134" i="18"/>
  <c r="Q134" i="18"/>
  <c r="Q148" i="18"/>
  <c r="R148" i="18"/>
  <c r="R64" i="18"/>
  <c r="Q64" i="18"/>
  <c r="R78" i="18"/>
  <c r="Q78" i="18"/>
  <c r="R92" i="18"/>
  <c r="Q92" i="18"/>
  <c r="R106" i="18"/>
  <c r="Q106" i="18"/>
  <c r="R120" i="18"/>
  <c r="Q120" i="18"/>
  <c r="R62" i="18"/>
  <c r="Q62" i="18"/>
  <c r="Q76" i="18"/>
  <c r="R76" i="18"/>
  <c r="R90" i="18"/>
  <c r="Q90" i="18"/>
  <c r="R118" i="18"/>
  <c r="Q118" i="18"/>
  <c r="Q104" i="18"/>
  <c r="R104" i="18"/>
  <c r="R50" i="18"/>
  <c r="Q50" i="18"/>
  <c r="R22" i="18"/>
  <c r="Q22" i="18"/>
  <c r="Q36" i="18"/>
  <c r="R36" i="18"/>
  <c r="Q34" i="18"/>
  <c r="R34" i="18"/>
  <c r="X90" i="18"/>
  <c r="Y90" i="18"/>
  <c r="Y120" i="18"/>
  <c r="X120" i="18"/>
  <c r="Y134" i="18"/>
  <c r="X134" i="18"/>
  <c r="Y148" i="18"/>
  <c r="X148" i="18"/>
  <c r="X20" i="18"/>
  <c r="Y20" i="18"/>
  <c r="X34" i="18"/>
  <c r="Y34" i="18"/>
  <c r="Y48" i="18"/>
  <c r="X48" i="18"/>
  <c r="Y62" i="18"/>
  <c r="X62" i="18"/>
  <c r="Y76" i="18"/>
  <c r="X76" i="18"/>
  <c r="Y104" i="18"/>
  <c r="X104" i="18"/>
  <c r="X146" i="18"/>
  <c r="Y146" i="18"/>
  <c r="Y160" i="18"/>
  <c r="X160" i="18"/>
  <c r="Y132" i="18"/>
  <c r="X132" i="18"/>
  <c r="Y78" i="18"/>
  <c r="X78" i="18"/>
  <c r="Y8" i="18"/>
  <c r="X8" i="18"/>
  <c r="J50" i="18"/>
  <c r="I50" i="18"/>
  <c r="K51" i="17"/>
  <c r="J51" i="17"/>
  <c r="I51" i="17"/>
  <c r="K77" i="17"/>
  <c r="J77" i="17"/>
  <c r="I77" i="17"/>
  <c r="J146" i="18"/>
  <c r="I146" i="18"/>
  <c r="J160" i="18"/>
  <c r="I160" i="18"/>
  <c r="J90" i="18"/>
  <c r="I90" i="18"/>
  <c r="J104" i="18"/>
  <c r="I104" i="18"/>
  <c r="I134" i="18"/>
  <c r="J134" i="18"/>
  <c r="J132" i="18"/>
  <c r="I132" i="18"/>
  <c r="J118" i="18"/>
  <c r="I118" i="18"/>
  <c r="J36" i="18"/>
  <c r="I36" i="18"/>
  <c r="I64" i="18"/>
  <c r="J64" i="18"/>
  <c r="J78" i="18"/>
  <c r="I78" i="18"/>
  <c r="J92" i="18"/>
  <c r="I92" i="18"/>
  <c r="J106" i="18"/>
  <c r="I106" i="18"/>
  <c r="J148" i="18"/>
  <c r="I148" i="18"/>
  <c r="J120" i="18"/>
  <c r="I120" i="18"/>
  <c r="L161" i="19"/>
  <c r="L135" i="19"/>
  <c r="L79" i="19"/>
  <c r="L77" i="19"/>
  <c r="L149" i="19"/>
  <c r="L121" i="19"/>
  <c r="L119" i="19"/>
  <c r="L93" i="19"/>
  <c r="L91" i="19"/>
  <c r="L133" i="19"/>
  <c r="L65" i="19"/>
  <c r="L105" i="19"/>
  <c r="L63" i="19"/>
  <c r="L49" i="19"/>
  <c r="L35" i="19"/>
  <c r="L51" i="19"/>
  <c r="L9" i="19"/>
  <c r="L107" i="19"/>
  <c r="L37" i="19"/>
  <c r="L21" i="19"/>
  <c r="L23" i="19"/>
  <c r="K7" i="19"/>
  <c r="Q7" i="19" s="1"/>
  <c r="L147" i="19"/>
  <c r="K121" i="17"/>
  <c r="J121" i="17"/>
  <c r="I121" i="17"/>
  <c r="K23" i="17"/>
  <c r="J23" i="17"/>
  <c r="I23" i="17"/>
  <c r="Y36" i="18"/>
  <c r="X36" i="18"/>
  <c r="Y92" i="18"/>
  <c r="X92" i="18"/>
  <c r="I63" i="17"/>
  <c r="K63" i="17"/>
  <c r="J63" i="17"/>
  <c r="X22" i="18"/>
  <c r="Y22" i="18"/>
  <c r="Y64" i="18"/>
  <c r="X64" i="18"/>
  <c r="I107" i="17"/>
  <c r="K107" i="17"/>
  <c r="J107" i="17"/>
  <c r="X50" i="18"/>
  <c r="Y50" i="18"/>
  <c r="Y106" i="18"/>
  <c r="X106" i="18"/>
  <c r="P91" i="19"/>
  <c r="R91" i="19"/>
  <c r="P161" i="19"/>
  <c r="R161" i="19"/>
  <c r="R149" i="19"/>
  <c r="P149" i="19"/>
  <c r="R121" i="19"/>
  <c r="P121" i="19"/>
  <c r="R119" i="19"/>
  <c r="P119" i="19"/>
  <c r="R93" i="19"/>
  <c r="P93" i="19"/>
  <c r="P133" i="19"/>
  <c r="R133" i="19"/>
  <c r="R65" i="19"/>
  <c r="P65" i="19"/>
  <c r="R147" i="19"/>
  <c r="P147" i="19"/>
  <c r="P105" i="19"/>
  <c r="R105" i="19"/>
  <c r="R63" i="19"/>
  <c r="P63" i="19"/>
  <c r="R49" i="19"/>
  <c r="P49" i="19"/>
  <c r="R35" i="19"/>
  <c r="P35" i="19"/>
  <c r="P79" i="19"/>
  <c r="R79" i="19"/>
  <c r="R51" i="19"/>
  <c r="P51" i="19"/>
  <c r="R9" i="19"/>
  <c r="P9" i="19"/>
  <c r="P107" i="19"/>
  <c r="R107" i="19"/>
  <c r="R37" i="19"/>
  <c r="P37" i="19"/>
  <c r="P135" i="19"/>
  <c r="R135" i="19"/>
  <c r="R77" i="19"/>
  <c r="P77" i="19"/>
  <c r="X51" i="19"/>
  <c r="J147" i="19"/>
  <c r="H147" i="19"/>
  <c r="X63" i="19"/>
  <c r="J49" i="19"/>
  <c r="H49" i="19"/>
  <c r="J63" i="19"/>
  <c r="H63" i="19"/>
  <c r="Z7" i="19"/>
  <c r="T7" i="19"/>
  <c r="X135" i="19"/>
  <c r="X133" i="19"/>
  <c r="X65" i="19"/>
  <c r="X147" i="19"/>
  <c r="X107" i="19"/>
  <c r="X105" i="19"/>
  <c r="X79" i="19"/>
  <c r="X77" i="19"/>
  <c r="X161" i="19"/>
  <c r="X149" i="19"/>
  <c r="X121" i="19"/>
  <c r="X21" i="19"/>
  <c r="X23" i="19"/>
  <c r="J79" i="19"/>
  <c r="H79" i="19"/>
  <c r="H65" i="19"/>
  <c r="J65" i="19"/>
  <c r="H93" i="19"/>
  <c r="J93" i="19"/>
  <c r="X119" i="19"/>
  <c r="E149" i="19"/>
  <c r="E133" i="19"/>
  <c r="E65" i="19"/>
  <c r="E63" i="19"/>
  <c r="E147" i="19"/>
  <c r="E161" i="19"/>
  <c r="E107" i="19"/>
  <c r="E105" i="19"/>
  <c r="E135" i="19"/>
  <c r="E79" i="19"/>
  <c r="E77" i="19"/>
  <c r="E121" i="19"/>
  <c r="E119" i="19"/>
  <c r="E37" i="19"/>
  <c r="E23" i="19"/>
  <c r="E21" i="19"/>
  <c r="D7" i="19"/>
  <c r="E93" i="19"/>
  <c r="E49" i="19"/>
  <c r="E91" i="19"/>
  <c r="E35" i="19"/>
  <c r="E9" i="19"/>
  <c r="E51" i="19"/>
  <c r="J149" i="19"/>
  <c r="H149" i="19"/>
  <c r="J161" i="19"/>
  <c r="H161" i="19"/>
  <c r="J107" i="19"/>
  <c r="H107" i="19"/>
  <c r="J105" i="19"/>
  <c r="H105" i="19"/>
  <c r="J135" i="19"/>
  <c r="H135" i="19"/>
  <c r="J121" i="19"/>
  <c r="H121" i="19"/>
  <c r="J119" i="19"/>
  <c r="H119" i="19"/>
  <c r="J21" i="19"/>
  <c r="H21" i="19"/>
  <c r="J23" i="19"/>
  <c r="H23" i="19"/>
  <c r="X37" i="19"/>
  <c r="X93" i="19"/>
  <c r="H77" i="19"/>
  <c r="J77" i="19"/>
  <c r="I148" i="21"/>
  <c r="H148" i="21"/>
  <c r="I120" i="21"/>
  <c r="H120" i="21"/>
  <c r="I22" i="21"/>
  <c r="H22" i="21"/>
  <c r="I92" i="21"/>
  <c r="H92" i="21"/>
  <c r="I64" i="21"/>
  <c r="H64" i="21"/>
  <c r="I36" i="21"/>
  <c r="H36" i="21"/>
  <c r="I162" i="21"/>
  <c r="H162" i="21"/>
  <c r="I134" i="21"/>
  <c r="H134" i="21"/>
  <c r="I106" i="21"/>
  <c r="H106" i="21"/>
  <c r="I50" i="21"/>
  <c r="H50" i="21"/>
  <c r="L105" i="22"/>
  <c r="K105" i="22"/>
  <c r="J105" i="22"/>
  <c r="L147" i="22"/>
  <c r="K147" i="22"/>
  <c r="J147" i="22"/>
  <c r="L119" i="22"/>
  <c r="K119" i="22"/>
  <c r="J119" i="22"/>
  <c r="L91" i="22"/>
  <c r="K91" i="22"/>
  <c r="J91" i="22"/>
  <c r="H86" i="24"/>
  <c r="H81" i="24"/>
  <c r="H79" i="24"/>
  <c r="H77" i="24"/>
  <c r="H75" i="24"/>
  <c r="H83" i="24"/>
  <c r="H85" i="24"/>
  <c r="H82" i="24"/>
  <c r="H80" i="24"/>
  <c r="H76" i="24"/>
  <c r="H84" i="24"/>
  <c r="H78" i="24"/>
  <c r="E161" i="24"/>
  <c r="E227" i="24"/>
  <c r="E183" i="24"/>
  <c r="E253" i="24"/>
  <c r="E139" i="24"/>
  <c r="E205" i="24"/>
  <c r="E95" i="24"/>
  <c r="E117" i="24"/>
  <c r="E51" i="24"/>
  <c r="C7" i="24"/>
  <c r="F8" i="24" s="1"/>
  <c r="E73" i="24"/>
  <c r="E29" i="24"/>
  <c r="H63" i="24"/>
  <c r="H65" i="24"/>
  <c r="H60" i="24"/>
  <c r="H58" i="24"/>
  <c r="H56" i="24"/>
  <c r="H54" i="24"/>
  <c r="H62" i="24"/>
  <c r="H64" i="24"/>
  <c r="H87" i="24"/>
  <c r="H59" i="24"/>
  <c r="H57" i="24"/>
  <c r="H55" i="24"/>
  <c r="H53" i="24"/>
  <c r="H61" i="24"/>
  <c r="L77" i="22"/>
  <c r="K77" i="22"/>
  <c r="J77" i="22"/>
  <c r="J41" i="25"/>
  <c r="J87" i="25"/>
  <c r="J82" i="25"/>
  <c r="J80" i="25"/>
  <c r="J78" i="25"/>
  <c r="J61" i="25"/>
  <c r="J81" i="25"/>
  <c r="J62" i="25"/>
  <c r="J31" i="25"/>
  <c r="J84" i="25"/>
  <c r="J33" i="25"/>
  <c r="J59" i="25"/>
  <c r="J35" i="25"/>
  <c r="J75" i="25"/>
  <c r="J42" i="25"/>
  <c r="J37" i="25"/>
  <c r="J54" i="25"/>
  <c r="J64" i="25"/>
  <c r="J39" i="25"/>
  <c r="J56" i="25"/>
  <c r="J83" i="25"/>
  <c r="J77" i="25"/>
  <c r="J86" i="25"/>
  <c r="J58" i="25"/>
  <c r="J32" i="25"/>
  <c r="J34" i="25"/>
  <c r="J63" i="25"/>
  <c r="J36" i="25"/>
  <c r="J60" i="25"/>
  <c r="J38" i="25"/>
  <c r="J53" i="25"/>
  <c r="J76" i="25"/>
  <c r="J43" i="25"/>
  <c r="J85" i="25"/>
  <c r="J57" i="25"/>
  <c r="J65" i="25"/>
  <c r="J40" i="25"/>
  <c r="J79" i="25"/>
  <c r="J55" i="25"/>
  <c r="E7" i="25"/>
  <c r="H8" i="25" s="1"/>
  <c r="G51" i="25"/>
  <c r="J52" i="25" s="1"/>
  <c r="G73" i="25"/>
  <c r="J74" i="25" s="1"/>
  <c r="G29" i="25"/>
  <c r="J30" i="25" s="1"/>
  <c r="K76" i="26"/>
  <c r="J76" i="26"/>
  <c r="I76" i="26"/>
  <c r="J146" i="27"/>
  <c r="I146" i="27"/>
  <c r="K146" i="27"/>
  <c r="K160" i="26"/>
  <c r="J160" i="26"/>
  <c r="I160" i="26"/>
  <c r="K62" i="26"/>
  <c r="J62" i="26"/>
  <c r="I62" i="26"/>
  <c r="I48" i="27"/>
  <c r="K48" i="27"/>
  <c r="J48" i="27"/>
  <c r="K90" i="27"/>
  <c r="J90" i="27"/>
  <c r="I90" i="27"/>
  <c r="K104" i="27"/>
  <c r="J104" i="27"/>
  <c r="I104" i="27"/>
  <c r="K118" i="27"/>
  <c r="J118" i="27"/>
  <c r="I118" i="27"/>
  <c r="K132" i="27"/>
  <c r="J132" i="27"/>
  <c r="I132" i="27"/>
  <c r="K76" i="27"/>
  <c r="J76" i="27"/>
  <c r="I76" i="27"/>
  <c r="K146" i="26"/>
  <c r="J146" i="26"/>
  <c r="I146" i="26"/>
  <c r="K48" i="26"/>
  <c r="J48" i="26"/>
  <c r="I48" i="26"/>
  <c r="K34" i="27"/>
  <c r="J34" i="27"/>
  <c r="I34" i="27"/>
  <c r="K132" i="26"/>
  <c r="J132" i="26"/>
  <c r="I132" i="26"/>
  <c r="L132" i="28"/>
  <c r="K132" i="28"/>
  <c r="J132" i="28"/>
  <c r="I132" i="28"/>
  <c r="M132" i="28"/>
  <c r="M104" i="28"/>
  <c r="K104" i="28"/>
  <c r="L104" i="28"/>
  <c r="J104" i="28"/>
  <c r="I104" i="28"/>
  <c r="M146" i="28"/>
  <c r="K146" i="28"/>
  <c r="I146" i="28"/>
  <c r="L146" i="28"/>
  <c r="J146" i="28"/>
  <c r="L160" i="28"/>
  <c r="J160" i="28"/>
  <c r="M160" i="28"/>
  <c r="K160" i="28"/>
  <c r="I160" i="28"/>
  <c r="M118" i="28"/>
  <c r="L118" i="28"/>
  <c r="K118" i="28"/>
  <c r="J118" i="28"/>
  <c r="I118" i="28"/>
  <c r="J90" i="28"/>
  <c r="M90" i="28"/>
  <c r="L90" i="28"/>
  <c r="K90" i="28"/>
  <c r="I90" i="28"/>
  <c r="M48" i="28"/>
  <c r="L48" i="28"/>
  <c r="K48" i="28"/>
  <c r="J48" i="28"/>
  <c r="I48" i="28"/>
  <c r="L62" i="28"/>
  <c r="K62" i="28"/>
  <c r="J62" i="28"/>
  <c r="I62" i="28"/>
  <c r="M62" i="28"/>
  <c r="M76" i="28"/>
  <c r="L76" i="28"/>
  <c r="J76" i="28"/>
  <c r="I76" i="28"/>
  <c r="K76" i="28"/>
  <c r="F41" i="30"/>
  <c r="F43" i="30"/>
  <c r="F38" i="30"/>
  <c r="F36" i="30"/>
  <c r="F34" i="30"/>
  <c r="F32" i="30"/>
  <c r="C29" i="30"/>
  <c r="F30" i="30" s="1"/>
  <c r="F40" i="30"/>
  <c r="F37" i="30"/>
  <c r="F35" i="30"/>
  <c r="F33" i="30"/>
  <c r="F31" i="30"/>
  <c r="F42" i="30"/>
  <c r="F39" i="30"/>
  <c r="M34" i="28"/>
  <c r="L34" i="28"/>
  <c r="K34" i="28"/>
  <c r="J34" i="28"/>
  <c r="I34" i="28"/>
  <c r="F18" i="30"/>
  <c r="F14" i="30"/>
  <c r="C7" i="30"/>
  <c r="F8" i="30" s="1"/>
  <c r="F17" i="30"/>
  <c r="F21" i="30"/>
  <c r="F13" i="30"/>
  <c r="F10" i="30"/>
  <c r="F16" i="30"/>
  <c r="F20" i="30"/>
  <c r="F19" i="30"/>
  <c r="F15" i="30"/>
  <c r="F12" i="30"/>
  <c r="F11" i="30"/>
  <c r="F9" i="30"/>
  <c r="M20" i="28"/>
  <c r="L20" i="28"/>
  <c r="K20" i="28"/>
  <c r="J20" i="28"/>
  <c r="I20" i="28"/>
  <c r="H64" i="30"/>
  <c r="H87" i="30"/>
  <c r="H82" i="30"/>
  <c r="H80" i="30"/>
  <c r="H78" i="30"/>
  <c r="H76" i="30"/>
  <c r="H59" i="30"/>
  <c r="H57" i="30"/>
  <c r="H55" i="30"/>
  <c r="H53" i="30"/>
  <c r="H84" i="30"/>
  <c r="H63" i="30"/>
  <c r="H86" i="30"/>
  <c r="H81" i="30"/>
  <c r="H79" i="30"/>
  <c r="H77" i="30"/>
  <c r="H75" i="30"/>
  <c r="E51" i="30"/>
  <c r="H52" i="30" s="1"/>
  <c r="H54" i="30"/>
  <c r="H58" i="30"/>
  <c r="H62" i="30"/>
  <c r="H85" i="30"/>
  <c r="H61" i="30"/>
  <c r="H56" i="30"/>
  <c r="H65" i="30"/>
  <c r="H83" i="30"/>
  <c r="H60" i="30"/>
  <c r="D52" i="33"/>
  <c r="D8" i="31"/>
  <c r="E249" i="30"/>
  <c r="H250" i="30" s="1"/>
  <c r="E95" i="30"/>
  <c r="H96" i="30" s="1"/>
  <c r="H140" i="30"/>
  <c r="E139" i="30"/>
  <c r="C51" i="31"/>
  <c r="D52" i="31" s="1"/>
  <c r="F41" i="33"/>
  <c r="F64" i="33"/>
  <c r="F85" i="33"/>
  <c r="F78" i="33"/>
  <c r="F76" i="33"/>
  <c r="F80" i="33"/>
  <c r="F59" i="33"/>
  <c r="F57" i="33"/>
  <c r="F55" i="33"/>
  <c r="F53" i="33"/>
  <c r="F20" i="33"/>
  <c r="F82" i="33"/>
  <c r="F38" i="33"/>
  <c r="F36" i="33"/>
  <c r="F61" i="33"/>
  <c r="F17" i="33"/>
  <c r="F40" i="33"/>
  <c r="F84" i="33"/>
  <c r="F63" i="33"/>
  <c r="F81" i="33"/>
  <c r="F62" i="33"/>
  <c r="F21" i="33"/>
  <c r="F42" i="33"/>
  <c r="F32" i="33"/>
  <c r="F16" i="33"/>
  <c r="F60" i="33"/>
  <c r="F9" i="33"/>
  <c r="F54" i="33"/>
  <c r="F12" i="33"/>
  <c r="F86" i="33"/>
  <c r="F79" i="33"/>
  <c r="F31" i="33"/>
  <c r="F35" i="33"/>
  <c r="F19" i="33"/>
  <c r="F15" i="33"/>
  <c r="F58" i="33"/>
  <c r="F11" i="33"/>
  <c r="F77" i="33"/>
  <c r="F34" i="33"/>
  <c r="C7" i="33"/>
  <c r="F8" i="33" s="1"/>
  <c r="F39" i="33"/>
  <c r="F14" i="33"/>
  <c r="F18" i="33"/>
  <c r="F83" i="33"/>
  <c r="F56" i="33"/>
  <c r="F10" i="33"/>
  <c r="F13" i="33"/>
  <c r="F37" i="33"/>
  <c r="F33" i="33"/>
  <c r="F75" i="33"/>
  <c r="E73" i="33"/>
  <c r="H87" i="33"/>
  <c r="H74" i="33"/>
  <c r="H16" i="43"/>
  <c r="J16" i="43"/>
  <c r="I16" i="43"/>
  <c r="B13" i="48"/>
  <c r="D12" i="48"/>
  <c r="I146" i="44"/>
  <c r="H146" i="44"/>
  <c r="K146" i="44" s="1"/>
  <c r="G146" i="44"/>
  <c r="T16" i="43"/>
  <c r="S16" i="43"/>
  <c r="R16" i="43"/>
  <c r="Q16" i="43"/>
  <c r="P16" i="43"/>
  <c r="O146" i="44"/>
  <c r="N146" i="44"/>
  <c r="M146" i="44"/>
  <c r="L146" i="44"/>
  <c r="B13" i="47"/>
  <c r="D12" i="47"/>
  <c r="D13" i="46"/>
  <c r="B14" i="46"/>
  <c r="N16" i="43"/>
  <c r="M16" i="43"/>
  <c r="L16" i="43"/>
  <c r="F52" i="31" l="1"/>
  <c r="B15" i="46"/>
  <c r="D14" i="46"/>
  <c r="B14" i="47"/>
  <c r="D13" i="47"/>
  <c r="B14" i="48"/>
  <c r="D13" i="48"/>
  <c r="C73" i="33"/>
  <c r="F74" i="33" s="1"/>
  <c r="F87" i="33"/>
  <c r="D8" i="33"/>
  <c r="C139" i="30"/>
  <c r="D140" i="30" s="1"/>
  <c r="C95" i="30"/>
  <c r="D96" i="30" s="1"/>
  <c r="C249" i="30"/>
  <c r="D250" i="30" s="1"/>
  <c r="F250" i="30"/>
  <c r="F64" i="30"/>
  <c r="F87" i="30"/>
  <c r="F82" i="30"/>
  <c r="F80" i="30"/>
  <c r="F78" i="30"/>
  <c r="F76" i="30"/>
  <c r="F84" i="30"/>
  <c r="F63" i="30"/>
  <c r="F52" i="30"/>
  <c r="F86" i="30"/>
  <c r="F83" i="30"/>
  <c r="F77" i="30"/>
  <c r="F59" i="30"/>
  <c r="F54" i="30"/>
  <c r="F81" i="30"/>
  <c r="F58" i="30"/>
  <c r="F75" i="30"/>
  <c r="F53" i="30"/>
  <c r="F79" i="30"/>
  <c r="C51" i="30"/>
  <c r="F85" i="30"/>
  <c r="F65" i="30"/>
  <c r="F62" i="30"/>
  <c r="F61" i="30"/>
  <c r="F60" i="30"/>
  <c r="F57" i="30"/>
  <c r="F56" i="30"/>
  <c r="F55" i="30"/>
  <c r="D8" i="30"/>
  <c r="D30" i="30"/>
  <c r="E73" i="25"/>
  <c r="C7" i="25"/>
  <c r="E51" i="25"/>
  <c r="E29" i="25"/>
  <c r="H30" i="25" s="1"/>
  <c r="F8" i="25"/>
  <c r="F84" i="24"/>
  <c r="F86" i="24"/>
  <c r="F81" i="24"/>
  <c r="F79" i="24"/>
  <c r="F77" i="24"/>
  <c r="F75" i="24"/>
  <c r="F83" i="24"/>
  <c r="F85" i="24"/>
  <c r="F78" i="24"/>
  <c r="F76" i="24"/>
  <c r="F82" i="24"/>
  <c r="F80" i="24"/>
  <c r="C227" i="24"/>
  <c r="D228" i="24" s="1"/>
  <c r="C117" i="24"/>
  <c r="D118" i="24" s="1"/>
  <c r="C29" i="24"/>
  <c r="D30" i="24" s="1"/>
  <c r="C183" i="24"/>
  <c r="D184" i="24" s="1"/>
  <c r="C139" i="24"/>
  <c r="D140" i="24" s="1"/>
  <c r="C205" i="24"/>
  <c r="D206" i="24" s="1"/>
  <c r="D8" i="24"/>
  <c r="C95" i="24"/>
  <c r="D96" i="24" s="1"/>
  <c r="C161" i="24"/>
  <c r="D162" i="24" s="1"/>
  <c r="C51" i="24"/>
  <c r="C253" i="24"/>
  <c r="D254" i="24" s="1"/>
  <c r="C73" i="24"/>
  <c r="D74" i="24" s="1"/>
  <c r="F61" i="24"/>
  <c r="F63" i="24"/>
  <c r="F65" i="24"/>
  <c r="F60" i="24"/>
  <c r="F58" i="24"/>
  <c r="F56" i="24"/>
  <c r="F54" i="24"/>
  <c r="F62" i="24"/>
  <c r="F64" i="24"/>
  <c r="F59" i="24"/>
  <c r="F87" i="24"/>
  <c r="F57" i="24"/>
  <c r="F55" i="24"/>
  <c r="F53" i="24"/>
  <c r="D149" i="19"/>
  <c r="D133" i="19"/>
  <c r="D65" i="19"/>
  <c r="D147" i="19"/>
  <c r="D161" i="19"/>
  <c r="D107" i="19"/>
  <c r="D105" i="19"/>
  <c r="D135" i="19"/>
  <c r="D79" i="19"/>
  <c r="D77" i="19"/>
  <c r="D121" i="19"/>
  <c r="D119" i="19"/>
  <c r="D91" i="19"/>
  <c r="D37" i="19"/>
  <c r="D23" i="19"/>
  <c r="D21" i="19"/>
  <c r="C7" i="19"/>
  <c r="I7" i="19" s="1"/>
  <c r="D93" i="19"/>
  <c r="D63" i="19"/>
  <c r="D35" i="19"/>
  <c r="D49" i="19"/>
  <c r="D51" i="19"/>
  <c r="D9" i="19"/>
  <c r="U161" i="19"/>
  <c r="Z161" i="19" s="1"/>
  <c r="Z153" i="19"/>
  <c r="U35" i="19"/>
  <c r="Z35" i="19" s="1"/>
  <c r="U63" i="19"/>
  <c r="Z63" i="19" s="1"/>
  <c r="U49" i="19"/>
  <c r="Z49" i="19" s="1"/>
  <c r="Z41" i="19"/>
  <c r="U77" i="19"/>
  <c r="Z77" i="19" s="1"/>
  <c r="Z69" i="19"/>
  <c r="T93" i="19"/>
  <c r="T91" i="19"/>
  <c r="T133" i="19"/>
  <c r="T147" i="19"/>
  <c r="T107" i="19"/>
  <c r="T105" i="19"/>
  <c r="T135" i="19"/>
  <c r="T79" i="19"/>
  <c r="T51" i="19"/>
  <c r="T9" i="19"/>
  <c r="T37" i="19"/>
  <c r="T149" i="19"/>
  <c r="T121" i="19"/>
  <c r="T119" i="19"/>
  <c r="T23" i="19"/>
  <c r="T21" i="19"/>
  <c r="S7" i="19"/>
  <c r="Y7" i="19" s="1"/>
  <c r="T77" i="19"/>
  <c r="T161" i="19"/>
  <c r="T63" i="19"/>
  <c r="T49" i="19"/>
  <c r="T35" i="19"/>
  <c r="T65" i="19"/>
  <c r="Z13" i="19"/>
  <c r="U21" i="19"/>
  <c r="Z21" i="19" s="1"/>
  <c r="Z24" i="19"/>
  <c r="U23" i="19"/>
  <c r="Z23" i="19" s="1"/>
  <c r="U119" i="19"/>
  <c r="Z119" i="19" s="1"/>
  <c r="Z111" i="19"/>
  <c r="U121" i="19"/>
  <c r="Z121" i="19" s="1"/>
  <c r="Z122" i="19"/>
  <c r="Z150" i="19"/>
  <c r="U149" i="19"/>
  <c r="Z149" i="19" s="1"/>
  <c r="U37" i="19"/>
  <c r="Z37" i="19" s="1"/>
  <c r="U9" i="19"/>
  <c r="Z10" i="19"/>
  <c r="U51" i="19"/>
  <c r="Z51" i="19" s="1"/>
  <c r="Z52" i="19"/>
  <c r="Z80" i="19"/>
  <c r="U79" i="19"/>
  <c r="Z79" i="19" s="1"/>
  <c r="Z136" i="19"/>
  <c r="U135" i="19"/>
  <c r="Z135" i="19" s="1"/>
  <c r="Z97" i="19"/>
  <c r="U105" i="19"/>
  <c r="Z105" i="19" s="1"/>
  <c r="Z108" i="19"/>
  <c r="U107" i="19"/>
  <c r="Z107" i="19" s="1"/>
  <c r="Z139" i="19"/>
  <c r="U147" i="19"/>
  <c r="Z147" i="19" s="1"/>
  <c r="U65" i="19"/>
  <c r="Z65" i="19" s="1"/>
  <c r="Z66" i="19"/>
  <c r="U133" i="19"/>
  <c r="Z133" i="19" s="1"/>
  <c r="Z125" i="19"/>
  <c r="U91" i="19"/>
  <c r="Z83" i="19"/>
  <c r="U93" i="19"/>
  <c r="Z93" i="19" s="1"/>
  <c r="Z94" i="19"/>
  <c r="K149" i="19"/>
  <c r="Q149" i="19" s="1"/>
  <c r="K147" i="19"/>
  <c r="Q147" i="19" s="1"/>
  <c r="K135" i="19"/>
  <c r="Q135" i="19" s="1"/>
  <c r="K79" i="19"/>
  <c r="Q79" i="19" s="1"/>
  <c r="K77" i="19"/>
  <c r="Q77" i="19" s="1"/>
  <c r="K121" i="19"/>
  <c r="Q121" i="19" s="1"/>
  <c r="K119" i="19"/>
  <c r="Q119" i="19" s="1"/>
  <c r="K93" i="19"/>
  <c r="Q93" i="19" s="1"/>
  <c r="K91" i="19"/>
  <c r="Q91" i="19" s="1"/>
  <c r="K133" i="19"/>
  <c r="Q133" i="19" s="1"/>
  <c r="K65" i="19"/>
  <c r="Q65" i="19" s="1"/>
  <c r="K105" i="19"/>
  <c r="Q105" i="19" s="1"/>
  <c r="K63" i="19"/>
  <c r="Q63" i="19" s="1"/>
  <c r="K49" i="19"/>
  <c r="Q49" i="19" s="1"/>
  <c r="K35" i="19"/>
  <c r="Q35" i="19" s="1"/>
  <c r="K51" i="19"/>
  <c r="Q51" i="19" s="1"/>
  <c r="K9" i="19"/>
  <c r="Q9" i="19" s="1"/>
  <c r="K161" i="19"/>
  <c r="Q161" i="19" s="1"/>
  <c r="K37" i="19"/>
  <c r="Q37" i="19" s="1"/>
  <c r="K107" i="19"/>
  <c r="Q107" i="19" s="1"/>
  <c r="K21" i="19"/>
  <c r="Q21" i="19" s="1"/>
  <c r="K23" i="19"/>
  <c r="Q23" i="19" s="1"/>
  <c r="L57" i="12"/>
  <c r="K57" i="12"/>
  <c r="J57" i="12"/>
  <c r="I57" i="12"/>
  <c r="B58" i="11"/>
  <c r="D57" i="11"/>
  <c r="B82" i="11"/>
  <c r="D81" i="11"/>
  <c r="B36" i="11"/>
  <c r="D35" i="11"/>
  <c r="F213" i="8"/>
  <c r="F211" i="8"/>
  <c r="F209" i="8"/>
  <c r="F207" i="8"/>
  <c r="E183" i="8"/>
  <c r="F184" i="8" s="1"/>
  <c r="F279" i="8"/>
  <c r="F277" i="8"/>
  <c r="F275" i="8"/>
  <c r="F273" i="8"/>
  <c r="F169" i="8"/>
  <c r="F167" i="8"/>
  <c r="F165" i="8"/>
  <c r="F163" i="8"/>
  <c r="F281" i="8"/>
  <c r="F263" i="8"/>
  <c r="F258" i="8"/>
  <c r="F256" i="8"/>
  <c r="F254" i="8"/>
  <c r="F252" i="8"/>
  <c r="F240" i="8"/>
  <c r="F217" i="8"/>
  <c r="F194" i="8"/>
  <c r="F171" i="8"/>
  <c r="F235" i="8"/>
  <c r="F230" i="8"/>
  <c r="F164" i="8"/>
  <c r="E117" i="8"/>
  <c r="F118" i="8" s="1"/>
  <c r="F274" i="8"/>
  <c r="F216" i="8"/>
  <c r="F103" i="8"/>
  <c r="F101" i="8"/>
  <c r="F99" i="8"/>
  <c r="F97" i="8"/>
  <c r="F260" i="8"/>
  <c r="F219" i="8"/>
  <c r="F210" i="8"/>
  <c r="F172" i="8"/>
  <c r="F257" i="8"/>
  <c r="F238" i="8"/>
  <c r="F197" i="8"/>
  <c r="F188" i="8"/>
  <c r="F175" i="8"/>
  <c r="F151" i="8"/>
  <c r="F128" i="8"/>
  <c r="F105" i="8"/>
  <c r="E73" i="8"/>
  <c r="F185" i="8"/>
  <c r="F166" i="8"/>
  <c r="F282" i="8"/>
  <c r="F241" i="8"/>
  <c r="F232" i="8"/>
  <c r="F229" i="8"/>
  <c r="E29" i="8"/>
  <c r="F30" i="8" s="1"/>
  <c r="F285" i="8"/>
  <c r="F276" i="8"/>
  <c r="F193" i="8"/>
  <c r="F237" i="8"/>
  <c r="F212" i="8"/>
  <c r="F196" i="8"/>
  <c r="F153" i="8"/>
  <c r="F148" i="8"/>
  <c r="F146" i="8"/>
  <c r="F144" i="8"/>
  <c r="F142" i="8"/>
  <c r="F130" i="8"/>
  <c r="F107" i="8"/>
  <c r="F251" i="8"/>
  <c r="F215" i="8"/>
  <c r="F190" i="8"/>
  <c r="F168" i="8"/>
  <c r="E139" i="8"/>
  <c r="F140" i="8" s="1"/>
  <c r="F187" i="8"/>
  <c r="F125" i="8"/>
  <c r="F123" i="8"/>
  <c r="F121" i="8"/>
  <c r="F119" i="8"/>
  <c r="F259" i="8"/>
  <c r="F234" i="8"/>
  <c r="F231" i="8"/>
  <c r="F218" i="8"/>
  <c r="F174" i="8"/>
  <c r="F278" i="8"/>
  <c r="F262" i="8"/>
  <c r="F150" i="8"/>
  <c r="F127" i="8"/>
  <c r="F109" i="8"/>
  <c r="F104" i="8"/>
  <c r="F102" i="8"/>
  <c r="F100" i="8"/>
  <c r="F98" i="8"/>
  <c r="F8" i="8"/>
  <c r="F214" i="8"/>
  <c r="E95" i="8"/>
  <c r="F96" i="8" s="1"/>
  <c r="E249" i="8"/>
  <c r="F250" i="8" s="1"/>
  <c r="F189" i="8"/>
  <c r="F173" i="8"/>
  <c r="E51" i="8"/>
  <c r="F236" i="8"/>
  <c r="F233" i="8"/>
  <c r="F195" i="8"/>
  <c r="F152" i="8"/>
  <c r="F129" i="8"/>
  <c r="F106" i="8"/>
  <c r="F283" i="8"/>
  <c r="E271" i="8"/>
  <c r="F272" i="8" s="1"/>
  <c r="F208" i="8"/>
  <c r="F147" i="8"/>
  <c r="F145" i="8"/>
  <c r="F143" i="8"/>
  <c r="F141" i="8"/>
  <c r="F261" i="8"/>
  <c r="F255" i="8"/>
  <c r="F186" i="8"/>
  <c r="E161" i="8"/>
  <c r="F162" i="8" s="1"/>
  <c r="F191" i="8"/>
  <c r="F149" i="8"/>
  <c r="F131" i="8"/>
  <c r="F126" i="8"/>
  <c r="F124" i="8"/>
  <c r="F122" i="8"/>
  <c r="F120" i="8"/>
  <c r="F108" i="8"/>
  <c r="F284" i="8"/>
  <c r="F170" i="8"/>
  <c r="F280" i="8"/>
  <c r="E205" i="8"/>
  <c r="F206" i="8" s="1"/>
  <c r="F239" i="8"/>
  <c r="C7" i="8"/>
  <c r="F192" i="8"/>
  <c r="E227" i="8"/>
  <c r="F228" i="8" s="1"/>
  <c r="F253" i="8"/>
  <c r="H87" i="8"/>
  <c r="H59" i="8"/>
  <c r="H57" i="8"/>
  <c r="H55" i="8"/>
  <c r="H53" i="8"/>
  <c r="H61" i="8"/>
  <c r="H63" i="8"/>
  <c r="H52" i="8"/>
  <c r="H65" i="8"/>
  <c r="H60" i="8"/>
  <c r="H58" i="8"/>
  <c r="H56" i="8"/>
  <c r="H54" i="8"/>
  <c r="H62" i="8"/>
  <c r="H64" i="8"/>
  <c r="H82" i="8"/>
  <c r="H80" i="8"/>
  <c r="H78" i="8"/>
  <c r="H76" i="8"/>
  <c r="H84" i="8"/>
  <c r="H86" i="8"/>
  <c r="H81" i="8"/>
  <c r="H79" i="8"/>
  <c r="H77" i="8"/>
  <c r="H75" i="8"/>
  <c r="H83" i="8"/>
  <c r="H74" i="8"/>
  <c r="H85" i="8"/>
  <c r="D30" i="10"/>
  <c r="B14" i="11"/>
  <c r="D13" i="11"/>
  <c r="H52" i="25" l="1"/>
  <c r="H74" i="25"/>
  <c r="Z9" i="19"/>
  <c r="Z156" i="19"/>
  <c r="Z158" i="19"/>
  <c r="Z75" i="19"/>
  <c r="Z20" i="19"/>
  <c r="Z58" i="19"/>
  <c r="Z90" i="19"/>
  <c r="Z151" i="19"/>
  <c r="Z155" i="19"/>
  <c r="Z70" i="19"/>
  <c r="Z15" i="19"/>
  <c r="Z44" i="19"/>
  <c r="Z34" i="19"/>
  <c r="Z154" i="19"/>
  <c r="Z130" i="19"/>
  <c r="Z59" i="19"/>
  <c r="Z39" i="19"/>
  <c r="Z100" i="19"/>
  <c r="Z131" i="19"/>
  <c r="Z114" i="19"/>
  <c r="Z54" i="19"/>
  <c r="Z31" i="19"/>
  <c r="Z62" i="19"/>
  <c r="Z118" i="19"/>
  <c r="Z33" i="19"/>
  <c r="Z126" i="19"/>
  <c r="Z109" i="19"/>
  <c r="Z48" i="19"/>
  <c r="Z84" i="19"/>
  <c r="Z53" i="19"/>
  <c r="Z115" i="19"/>
  <c r="Z103" i="19"/>
  <c r="Z43" i="19"/>
  <c r="Z145" i="19"/>
  <c r="Z32" i="19"/>
  <c r="Z113" i="19"/>
  <c r="Z110" i="19"/>
  <c r="Z98" i="19"/>
  <c r="Z138" i="19"/>
  <c r="Z28" i="19"/>
  <c r="Z104" i="19"/>
  <c r="Z87" i="19"/>
  <c r="Z137" i="19"/>
  <c r="Z30" i="19"/>
  <c r="Z11" i="19"/>
  <c r="Z16" i="19"/>
  <c r="Z99" i="19"/>
  <c r="Z82" i="19"/>
  <c r="Z160" i="19"/>
  <c r="Z25" i="19"/>
  <c r="Z89" i="19"/>
  <c r="Z29" i="19"/>
  <c r="Z88" i="19"/>
  <c r="Z76" i="19"/>
  <c r="Z128" i="19"/>
  <c r="Z19" i="19"/>
  <c r="Z42" i="19"/>
  <c r="Z46" i="19"/>
  <c r="Z85" i="19"/>
  <c r="Z72" i="19"/>
  <c r="Z71" i="19"/>
  <c r="Z123" i="19"/>
  <c r="Z14" i="19"/>
  <c r="Z127" i="19"/>
  <c r="Z67" i="19"/>
  <c r="Z140" i="19"/>
  <c r="Z117" i="19"/>
  <c r="Z132" i="19"/>
  <c r="Z17" i="19"/>
  <c r="Z61" i="19"/>
  <c r="Z159" i="19"/>
  <c r="Z112" i="19"/>
  <c r="Z68" i="19"/>
  <c r="Z12" i="19"/>
  <c r="Z56" i="19"/>
  <c r="Z129" i="19"/>
  <c r="Z101" i="19"/>
  <c r="Z47" i="19"/>
  <c r="Z116" i="19"/>
  <c r="Z45" i="19"/>
  <c r="Z124" i="19"/>
  <c r="Z96" i="19"/>
  <c r="Z144" i="19"/>
  <c r="Z95" i="19"/>
  <c r="Z40" i="19"/>
  <c r="Z157" i="19"/>
  <c r="Z143" i="19"/>
  <c r="Z102" i="19"/>
  <c r="Z74" i="19"/>
  <c r="Z18" i="19"/>
  <c r="Z57" i="19"/>
  <c r="Z152" i="19"/>
  <c r="Z142" i="19"/>
  <c r="Z86" i="19"/>
  <c r="Z73" i="19"/>
  <c r="Z60" i="19"/>
  <c r="Z146" i="19"/>
  <c r="Z141" i="19"/>
  <c r="Z81" i="19"/>
  <c r="Z26" i="19"/>
  <c r="Z55" i="19"/>
  <c r="F96" i="30"/>
  <c r="Z91" i="19"/>
  <c r="Z38" i="19"/>
  <c r="Z27" i="19"/>
  <c r="F140" i="30"/>
  <c r="B15" i="11"/>
  <c r="D14" i="11"/>
  <c r="C227" i="8"/>
  <c r="D228" i="8" s="1"/>
  <c r="C183" i="8"/>
  <c r="D184" i="8" s="1"/>
  <c r="C117" i="8"/>
  <c r="D118" i="8" s="1"/>
  <c r="C73" i="8"/>
  <c r="D74" i="8" s="1"/>
  <c r="C29" i="8"/>
  <c r="D30" i="8" s="1"/>
  <c r="C139" i="8"/>
  <c r="D140" i="8" s="1"/>
  <c r="C205" i="8"/>
  <c r="D206" i="8" s="1"/>
  <c r="C249" i="8"/>
  <c r="D250" i="8" s="1"/>
  <c r="C51" i="8"/>
  <c r="C271" i="8"/>
  <c r="D272" i="8" s="1"/>
  <c r="C161" i="8"/>
  <c r="D162" i="8" s="1"/>
  <c r="D8" i="8"/>
  <c r="C95" i="8"/>
  <c r="D96" i="8" s="1"/>
  <c r="F64" i="8"/>
  <c r="F87" i="8"/>
  <c r="F59" i="8"/>
  <c r="F57" i="8"/>
  <c r="F55" i="8"/>
  <c r="F53" i="8"/>
  <c r="F61" i="8"/>
  <c r="F63" i="8"/>
  <c r="F52" i="8"/>
  <c r="F54" i="8"/>
  <c r="F62" i="8"/>
  <c r="F60" i="8"/>
  <c r="F58" i="8"/>
  <c r="F65" i="8"/>
  <c r="F56" i="8"/>
  <c r="F82" i="8"/>
  <c r="F80" i="8"/>
  <c r="F78" i="8"/>
  <c r="F76" i="8"/>
  <c r="F84" i="8"/>
  <c r="F86" i="8"/>
  <c r="F81" i="8"/>
  <c r="F79" i="8"/>
  <c r="F77" i="8"/>
  <c r="F75" i="8"/>
  <c r="F83" i="8"/>
  <c r="F85" i="8"/>
  <c r="F74" i="8"/>
  <c r="B37" i="11"/>
  <c r="D36" i="11"/>
  <c r="B83" i="11"/>
  <c r="D82" i="11"/>
  <c r="D58" i="11"/>
  <c r="B59" i="11"/>
  <c r="S161" i="19"/>
  <c r="Y161" i="19" s="1"/>
  <c r="S93" i="19"/>
  <c r="Y93" i="19" s="1"/>
  <c r="S91" i="19"/>
  <c r="Y91" i="19" s="1"/>
  <c r="S133" i="19"/>
  <c r="Y133" i="19" s="1"/>
  <c r="S147" i="19"/>
  <c r="Y147" i="19" s="1"/>
  <c r="S107" i="19"/>
  <c r="Y107" i="19" s="1"/>
  <c r="S105" i="19"/>
  <c r="Y105" i="19" s="1"/>
  <c r="S135" i="19"/>
  <c r="Y135" i="19" s="1"/>
  <c r="S79" i="19"/>
  <c r="Y79" i="19" s="1"/>
  <c r="S51" i="19"/>
  <c r="Y51" i="19" s="1"/>
  <c r="S9" i="19"/>
  <c r="Y9" i="19" s="1"/>
  <c r="S37" i="19"/>
  <c r="Y37" i="19" s="1"/>
  <c r="S149" i="19"/>
  <c r="Y149" i="19" s="1"/>
  <c r="S121" i="19"/>
  <c r="Y121" i="19" s="1"/>
  <c r="S119" i="19"/>
  <c r="Y119" i="19" s="1"/>
  <c r="S23" i="19"/>
  <c r="Y23" i="19" s="1"/>
  <c r="S21" i="19"/>
  <c r="Y21" i="19" s="1"/>
  <c r="S63" i="19"/>
  <c r="Y63" i="19" s="1"/>
  <c r="S49" i="19"/>
  <c r="Y49" i="19" s="1"/>
  <c r="S35" i="19"/>
  <c r="Y35" i="19" s="1"/>
  <c r="S65" i="19"/>
  <c r="Y65" i="19" s="1"/>
  <c r="S77" i="19"/>
  <c r="Y77" i="19" s="1"/>
  <c r="C135" i="19"/>
  <c r="I135" i="19" s="1"/>
  <c r="C133" i="19"/>
  <c r="I133" i="19" s="1"/>
  <c r="C65" i="19"/>
  <c r="I65" i="19" s="1"/>
  <c r="C147" i="19"/>
  <c r="I147" i="19" s="1"/>
  <c r="C161" i="19"/>
  <c r="I161" i="19" s="1"/>
  <c r="C149" i="19"/>
  <c r="I149" i="19" s="1"/>
  <c r="C107" i="19"/>
  <c r="I107" i="19" s="1"/>
  <c r="C105" i="19"/>
  <c r="I105" i="19" s="1"/>
  <c r="C79" i="19"/>
  <c r="I79" i="19" s="1"/>
  <c r="C77" i="19"/>
  <c r="I77" i="19" s="1"/>
  <c r="C121" i="19"/>
  <c r="I121" i="19" s="1"/>
  <c r="C91" i="19"/>
  <c r="I91" i="19" s="1"/>
  <c r="C37" i="19"/>
  <c r="I37" i="19" s="1"/>
  <c r="C23" i="19"/>
  <c r="I23" i="19" s="1"/>
  <c r="C21" i="19"/>
  <c r="I21" i="19" s="1"/>
  <c r="C93" i="19"/>
  <c r="I93" i="19" s="1"/>
  <c r="C119" i="19"/>
  <c r="I119" i="19" s="1"/>
  <c r="C63" i="19"/>
  <c r="I63" i="19" s="1"/>
  <c r="C49" i="19"/>
  <c r="I49" i="19" s="1"/>
  <c r="C51" i="19"/>
  <c r="I51" i="19" s="1"/>
  <c r="C35" i="19"/>
  <c r="I35" i="19" s="1"/>
  <c r="C9" i="19"/>
  <c r="I9" i="19" s="1"/>
  <c r="D52" i="24"/>
  <c r="C51" i="25"/>
  <c r="D52" i="25" s="1"/>
  <c r="C29" i="25"/>
  <c r="F30" i="25" s="1"/>
  <c r="D8" i="25"/>
  <c r="C73" i="25"/>
  <c r="D74" i="25" s="1"/>
  <c r="D52" i="30"/>
  <c r="D74" i="33"/>
  <c r="B15" i="48"/>
  <c r="D14" i="48"/>
  <c r="B15" i="47"/>
  <c r="D14" i="47"/>
  <c r="B16" i="46"/>
  <c r="D15" i="46"/>
  <c r="F74" i="25" l="1"/>
  <c r="F52" i="25"/>
  <c r="B17" i="46"/>
  <c r="D16" i="46"/>
  <c r="B16" i="47"/>
  <c r="D15" i="47"/>
  <c r="D15" i="48"/>
  <c r="B16" i="48"/>
  <c r="D30" i="25"/>
  <c r="B60" i="11"/>
  <c r="D59" i="11"/>
  <c r="B84" i="11"/>
  <c r="D83" i="11"/>
  <c r="B38" i="11"/>
  <c r="D37" i="11"/>
  <c r="D52" i="8"/>
  <c r="D15" i="11"/>
  <c r="B16" i="11"/>
  <c r="B17" i="11" l="1"/>
  <c r="D16" i="11"/>
  <c r="B39" i="11"/>
  <c r="D38" i="11"/>
  <c r="B85" i="11"/>
  <c r="D84" i="11"/>
  <c r="B61" i="11"/>
  <c r="D60" i="11"/>
  <c r="B17" i="48"/>
  <c r="D16" i="48"/>
  <c r="B17" i="47"/>
  <c r="D16" i="47"/>
  <c r="B18" i="46"/>
  <c r="D17" i="46"/>
  <c r="B19" i="46" l="1"/>
  <c r="D18" i="46"/>
  <c r="D17" i="47"/>
  <c r="B18" i="47"/>
  <c r="B18" i="48"/>
  <c r="D17" i="48"/>
  <c r="B62" i="11"/>
  <c r="D61" i="11"/>
  <c r="B86" i="11"/>
  <c r="D85" i="11"/>
  <c r="B40" i="11"/>
  <c r="D39" i="11"/>
  <c r="D17" i="11"/>
  <c r="B18" i="11"/>
  <c r="B19" i="11" l="1"/>
  <c r="D18" i="11"/>
  <c r="B41" i="11"/>
  <c r="D40" i="11"/>
  <c r="D86" i="11"/>
  <c r="B87" i="11"/>
  <c r="B63" i="11"/>
  <c r="D62" i="11"/>
  <c r="B19" i="48"/>
  <c r="D18" i="48"/>
  <c r="B19" i="47"/>
  <c r="D18" i="47"/>
  <c r="B20" i="46"/>
  <c r="D19" i="46"/>
  <c r="B21" i="46" l="1"/>
  <c r="D20" i="46"/>
  <c r="B20" i="47"/>
  <c r="D19" i="47"/>
  <c r="B20" i="48"/>
  <c r="D19" i="48"/>
  <c r="B64" i="11"/>
  <c r="D63" i="11"/>
  <c r="B88" i="11"/>
  <c r="D87" i="11"/>
  <c r="B42" i="11"/>
  <c r="D41" i="11"/>
  <c r="B20" i="11"/>
  <c r="D19" i="11"/>
  <c r="B21" i="11" l="1"/>
  <c r="D20" i="11"/>
  <c r="B43" i="11"/>
  <c r="D42" i="11"/>
  <c r="D88" i="11"/>
  <c r="B89" i="11"/>
  <c r="B65" i="11"/>
  <c r="D64" i="11"/>
  <c r="B21" i="48"/>
  <c r="D20" i="48"/>
  <c r="B21" i="47"/>
  <c r="D20" i="47"/>
  <c r="B22" i="46"/>
  <c r="D21" i="46"/>
  <c r="B22" i="47" l="1"/>
  <c r="D21" i="47"/>
  <c r="B22" i="48"/>
  <c r="D21" i="48"/>
  <c r="B66" i="11"/>
  <c r="D65" i="11"/>
  <c r="B90" i="11"/>
  <c r="D89" i="11"/>
  <c r="D43" i="11"/>
  <c r="B44" i="11"/>
  <c r="B22" i="11"/>
  <c r="D21" i="11"/>
  <c r="B45" i="11" l="1"/>
  <c r="D44" i="11"/>
  <c r="B91" i="11"/>
  <c r="D90" i="11"/>
  <c r="B67" i="11"/>
  <c r="D66" i="11"/>
  <c r="B68" i="11" l="1"/>
  <c r="D67" i="11"/>
</calcChain>
</file>

<file path=xl/sharedStrings.xml><?xml version="1.0" encoding="utf-8"?>
<sst xmlns="http://schemas.openxmlformats.org/spreadsheetml/2006/main" count="5595" uniqueCount="328">
  <si>
    <t>Total</t>
  </si>
  <si>
    <t>Estadísticas indicadores alojativos</t>
  </si>
  <si>
    <t>Comparativa Canarias e islas</t>
  </si>
  <si>
    <t>Resumen indicadores municipios Tenerife</t>
  </si>
  <si>
    <t>Oferta alojativa en funcionamiento</t>
  </si>
  <si>
    <t>Plazas alojativas Tenerife y municipios</t>
  </si>
  <si>
    <t>Establecimientos alojativos Tenerife y municipios</t>
  </si>
  <si>
    <t>Indicadores alojativos hotel + apartamento</t>
  </si>
  <si>
    <t>Viajeros entrados</t>
  </si>
  <si>
    <t>Viajeros peninsulares entrados en los hotelera y apartamentos de Tenerife por municipio de alojamiento - acumulado</t>
  </si>
  <si>
    <t xml:space="preserve">Viajeros entrados en los establecimientos alojativos de Tenerife por municipio y categoría </t>
  </si>
  <si>
    <t>Viajeros entrados en los establecimientos alojativos de Tenerife según lugar de residencia y municipio de alojamiento - año</t>
  </si>
  <si>
    <t>Viajeros entrados en los establecimientos alojativos de Tenerife según lugar de residencia y municipio de alojamiento - mes</t>
  </si>
  <si>
    <t>Viajeros entrados en los establecimientos alojativos de Tenerife según lugar de residencia y municipio de alojamiento - acumulado</t>
  </si>
  <si>
    <t>Viajeros entrados en los hotelera de Tenerife según lugar de residencia y municipio de alojamiento - acumulado</t>
  </si>
  <si>
    <t>Viajeros entrados en los apartamentos de Tenerife según lugar de residencia y municipio de alojamiento - acumulado</t>
  </si>
  <si>
    <t>Viajeros entrados en los establecimientos hoteleros de Tenerife según lugar de residencia, categoría y municipio del alojamiento - acumulado</t>
  </si>
  <si>
    <t>Viajeros entrados en los establecimientos hoteleros de Tenerife según lugar de residencia, categoría y municipio del alojamiento - año</t>
  </si>
  <si>
    <t>Viajeros alojados</t>
  </si>
  <si>
    <t>Viajeros alojados en los establecimientos alojativos de Tenerife según lugar de residencia y municipio de alojamiento - mes</t>
  </si>
  <si>
    <t>Viajeros alojados en los establecimientos alojativos de Tenerife según lugar de residencia y municipio de alojamiento - acumulado</t>
  </si>
  <si>
    <t>Pernoctaciones</t>
  </si>
  <si>
    <t>Estancia media</t>
  </si>
  <si>
    <t>Tasa de ocupación</t>
  </si>
  <si>
    <t>indicadores rentabilidad</t>
  </si>
  <si>
    <t xml:space="preserve">Indicadores de rentabilidad:Tarifa media diaria (ADR); ingresos por habitación disponible (RevPAR); ingresos totales en los establecimientos alojativos Tenerife por municipio  (hotel + apartamento) </t>
  </si>
  <si>
    <t>Tarifa media diaria (ADR) Tenerife y municipios</t>
  </si>
  <si>
    <t>Ingresos medios por habitación (RevPar) Tenerife y municipios</t>
  </si>
  <si>
    <t>Viajeros españoles entrados en hotelera y apartamentos</t>
  </si>
  <si>
    <t>Viajeros españoles entrados en los hotelera y apartamentos de Tenerife por municipio de alojamiento</t>
  </si>
  <si>
    <t>Viajeros peninsulares entrados en los hotelera y apartamentos de Tenerife por municipio de alojamiento</t>
  </si>
  <si>
    <t>Viajeros canarios entrados en los hotelera y apartamentos de Tenerife por municipio de alojamiento</t>
  </si>
  <si>
    <t>total</t>
  </si>
  <si>
    <t>hoteleros</t>
  </si>
  <si>
    <t>apartamentos</t>
  </si>
  <si>
    <t>Viajeros alojados*</t>
  </si>
  <si>
    <t>Ocupación por plaza</t>
  </si>
  <si>
    <t>Plazas estimadas en el mes</t>
  </si>
  <si>
    <t>*dato publicado ISTAC
FUENTE: Encuestas Alojamientos Turísticos (ISTAC). ELABORACIÓN: Turismo de Tenerife.</t>
  </si>
  <si>
    <t>Plazas estimadas
promedio</t>
  </si>
  <si>
    <t>*dato calculado viajeros alodos periodo=viajeros alojados en enero + SUM(viajeros entrados febrero hasta mes actual)
FUENTE: Encuestas Alojamientos Turísticos (ISTAC). ELABORACIÓN: Turismo de Tenerife.</t>
  </si>
  <si>
    <t>Plazas estimadas
Promedio anual</t>
  </si>
  <si>
    <t>Nota: el ISTAC solo oferce información de desagregada de los municipios que figuran en las tablas. 
Para cualquier consulta contactar con ISTAC a través del correo consultas.istac@gobiernodecanarias.org</t>
  </si>
  <si>
    <t>Resumen de indicadores turísticos municipios turísticos de Tenerife</t>
  </si>
  <si>
    <t>INDICADORES TURÍSTICOS</t>
  </si>
  <si>
    <t>Tenerife</t>
  </si>
  <si>
    <t>Adeje</t>
  </si>
  <si>
    <t>Arona</t>
  </si>
  <si>
    <t>Granadilla de Abona</t>
  </si>
  <si>
    <t>Guía de Isora</t>
  </si>
  <si>
    <t>Puerto de la Cruz</t>
  </si>
  <si>
    <t>San Cristóbal de La Laguna</t>
  </si>
  <si>
    <t>San Miguel de Abona</t>
  </si>
  <si>
    <t>Santa Cruz de Tenerife</t>
  </si>
  <si>
    <t>Santiago del Teide</t>
  </si>
  <si>
    <t>Resto de Tenerife</t>
  </si>
  <si>
    <t>Plazas estimadas del mes</t>
  </si>
  <si>
    <t>FUENTE: Encuestas Alojamientos Turísticos (ISTAC). ELABORACIÓN: Turismo de Tenerife.</t>
  </si>
  <si>
    <t>Resumen de indicadores turísticos Canarias e islas</t>
  </si>
  <si>
    <t>Plazas estimadas
promedio anual</t>
  </si>
  <si>
    <t>Promedio anual de plazas en funcionamiento</t>
  </si>
  <si>
    <t>plazas en funcionamiento en el mes</t>
  </si>
  <si>
    <t>Hotel</t>
  </si>
  <si>
    <t>4, 5 estrellas</t>
  </si>
  <si>
    <t>1, 2, 3 estrellas</t>
  </si>
  <si>
    <t>Apartamento</t>
  </si>
  <si>
    <t>Promedio anual de establecimientos en funcionamiento</t>
  </si>
  <si>
    <t>establecimientos en funcionamiento en el mes</t>
  </si>
  <si>
    <t>4* y 5*</t>
  </si>
  <si>
    <t>1*, 2* y 3*</t>
  </si>
  <si>
    <t>1, 2 y 3 estrellas</t>
  </si>
  <si>
    <t>año 2020: 1.627.003 (-68,0%)</t>
  </si>
  <si>
    <t>acumulado diciembre 2021: 2.384.391 (46,6%)</t>
  </si>
  <si>
    <t>Total lugares de residencia</t>
  </si>
  <si>
    <t>dato</t>
  </si>
  <si>
    <t>ene</t>
  </si>
  <si>
    <t>Enero</t>
  </si>
  <si>
    <t>feb</t>
  </si>
  <si>
    <t>Febrero</t>
  </si>
  <si>
    <t>mar</t>
  </si>
  <si>
    <t>Marzo</t>
  </si>
  <si>
    <t>abr</t>
  </si>
  <si>
    <t>Abril</t>
  </si>
  <si>
    <t>may</t>
  </si>
  <si>
    <t>Mayo</t>
  </si>
  <si>
    <t>jun</t>
  </si>
  <si>
    <t>Junio</t>
  </si>
  <si>
    <t>jul</t>
  </si>
  <si>
    <t>Julio</t>
  </si>
  <si>
    <t>ago</t>
  </si>
  <si>
    <t>Agosto</t>
  </si>
  <si>
    <t>sep</t>
  </si>
  <si>
    <t>Septiembre</t>
  </si>
  <si>
    <t>oct</t>
  </si>
  <si>
    <t>Octubre</t>
  </si>
  <si>
    <t>nov</t>
  </si>
  <si>
    <t>Noviembre</t>
  </si>
  <si>
    <t>dic</t>
  </si>
  <si>
    <t>Diciembre</t>
  </si>
  <si>
    <t>año 2020: 491.164 (-58,4%)</t>
  </si>
  <si>
    <t>acumulado diciembre 2021: 846.190 (72,3%)</t>
  </si>
  <si>
    <t>España</t>
  </si>
  <si>
    <t>Total residentes en España</t>
  </si>
  <si>
    <t>año 2020: 256.364 (-61,2%)</t>
  </si>
  <si>
    <t>acumulado diciembre 2021: 401.165 (56,5%)</t>
  </si>
  <si>
    <t>Península</t>
  </si>
  <si>
    <t>año 2020: 234.800 (-54,8%)</t>
  </si>
  <si>
    <t>acumulado diciembre 2021: 445.025 (89,5%)</t>
  </si>
  <si>
    <t>Canarias</t>
  </si>
  <si>
    <t>año 2020: 1.135.839 (-70,9%)</t>
  </si>
  <si>
    <t>acumulado diciembre 2021: 1.538.201 (35,4%)</t>
  </si>
  <si>
    <t>Mundo (excluida España)</t>
  </si>
  <si>
    <t>Total residentes en el extranjero</t>
  </si>
  <si>
    <t>año 2020: 443.259 (-75,1%)</t>
  </si>
  <si>
    <t>acumulado diciembre 2021: 443.278 (0,0%)</t>
  </si>
  <si>
    <t>Reino Unido</t>
  </si>
  <si>
    <t>año 2020: 140.489 (-72,1%)</t>
  </si>
  <si>
    <t>acumulado diciembre 2021: 218.298 (55,4%)</t>
  </si>
  <si>
    <t>Alemania</t>
  </si>
  <si>
    <t>año 2020: 60.127 (-65,0%)</t>
  </si>
  <si>
    <t>acumulado diciembre 2021: 133.006 (121,2%)</t>
  </si>
  <si>
    <t>Francia</t>
  </si>
  <si>
    <t>año 2020: 55.839 (-58,8%)</t>
  </si>
  <si>
    <t>acumulado diciembre 2021: 93.108 (66,7%)</t>
  </si>
  <si>
    <t>Bélgica</t>
  </si>
  <si>
    <t>junio</t>
  </si>
  <si>
    <t>año 2020: 40.096 (-72,1%)</t>
  </si>
  <si>
    <t>acumulado diciembre 2021: 93.513 (133,2%)</t>
  </si>
  <si>
    <t>Países Bajos</t>
  </si>
  <si>
    <t>año 2020: 36.855 (-72,9%)</t>
  </si>
  <si>
    <t>acumulado diciembre 2021: 74.437 (102,0%)</t>
  </si>
  <si>
    <t>año 2020: 27.669 (-76,0%)</t>
  </si>
  <si>
    <t>acumulado diciembre 2021: 42.846 (54,9%)</t>
  </si>
  <si>
    <t>Dinamarca</t>
  </si>
  <si>
    <t>año 2020: 12.033 (-72,1%)</t>
  </si>
  <si>
    <t>acumulado diciembre 2021: 30.544 (153,8%)</t>
  </si>
  <si>
    <t>Suecia</t>
  </si>
  <si>
    <t>Total categorías</t>
  </si>
  <si>
    <t>var 16/15</t>
  </si>
  <si>
    <t>var 17/16</t>
  </si>
  <si>
    <t>var 18/17</t>
  </si>
  <si>
    <t>var 22/21</t>
  </si>
  <si>
    <t>hoteles</t>
  </si>
  <si>
    <t>4, 5 Estrellas</t>
  </si>
  <si>
    <t>1, 2, 3 Estrellas</t>
  </si>
  <si>
    <t>viajeros entrados</t>
  </si>
  <si>
    <t>var interanual</t>
  </si>
  <si>
    <t>Evolución de viajeros entrados en los hoteles de 4 estrellas de Tenerife</t>
  </si>
  <si>
    <t>Viajeros entrados en los establecimientos alojativos de Tenerife por municipio y categoría 
(hotel + apartamento)</t>
  </si>
  <si>
    <t>Holanda</t>
  </si>
  <si>
    <t>Otros países</t>
  </si>
  <si>
    <t>Mundo (Excluida España)</t>
  </si>
  <si>
    <t>año 2020: 165.282 (-66,0%)</t>
  </si>
  <si>
    <t>acumulado diciembre 2021: 310.940 (88,1%)</t>
  </si>
  <si>
    <t>4 y 5 estrellas</t>
  </si>
  <si>
    <t>º</t>
  </si>
  <si>
    <t>año 2020: 0 (-39,9%)</t>
  </si>
  <si>
    <t>acumulado diciembre 2021: 1 (57,7%)</t>
  </si>
  <si>
    <t>Total establecimientos alojativos (hotel + apartamento)</t>
  </si>
  <si>
    <t>año 2020: 0 (-39,0%)</t>
  </si>
  <si>
    <t>acumulado diciembre 2021: 1 (13,3%)</t>
  </si>
  <si>
    <t>año 2020: 0 (-36,7%)</t>
  </si>
  <si>
    <t>acumulado diciembre 2021: 1 (20,6%)</t>
  </si>
  <si>
    <t>año 2020: 0 (-39,4%)</t>
  </si>
  <si>
    <t>acumulado diciembre 2021: 1 (13,1%)</t>
  </si>
  <si>
    <t>i</t>
  </si>
  <si>
    <t xml:space="preserve">Tarifa media diaria ADR por habitación en los establecimientos alojativos Tenerife por municipio  (hotel + apartamento) </t>
  </si>
  <si>
    <t>Ingresos por habitación disponible (RevPAR) en los establecimientos alojativos de Tenerife por municipio  (hotel + apartamento)</t>
  </si>
  <si>
    <t>Ingresos totales en los establecimientos alojativos de Tenerife por municipio  (hotel + apartamento)</t>
  </si>
  <si>
    <t>El ADR o Tarifa Media Diaria son los ingresos medios diarios obtenidos por habitación-apartamento ocupado. Los ingresos hacen referencia a aquellos percibidos por los hoteleros por la prestación del servicio de alojamiento, sin incluir otro tipo de servicios que sí pueda ofrecer el establecimiento.</t>
  </si>
  <si>
    <t>El RevPar o Ingreso por Habitación-Apartamento Disponible son los ingresos medios diarios obtenidos por habitación-apartamento disponible. Los ingresos hacen referencia a aquellos percibidos por los hoteleros por la prestación del servicio de alojamiento, sin incluir otro tipo de servicios que sí pueda ofrecer el establecimiento.</t>
  </si>
  <si>
    <t>Los Ingresos totales son el producto del ADR por las habitaciones ocupadas</t>
  </si>
  <si>
    <t>Los datos del acumulado están calculados como la división entre el aumulado de los ingresos y el acumulados de las habitaciones ocupadas</t>
  </si>
  <si>
    <t>Los datos del acumulado están calculados como la división entre el aumulado de los ingresos y el acumulados de las habitaciones disponibles</t>
  </si>
  <si>
    <t xml:space="preserve">Tarifa media diaria ADR por habitación en los establecimientos alojativos Canarias e islas  (hotel + apartamento) </t>
  </si>
  <si>
    <t>Ingresos por habitación disponible (RevPAR) en los establecimientos alojativos Canarias e islas  (hotel + apartamento)</t>
  </si>
  <si>
    <t>Ingresos totales en los establecimientos alojativos Canarias e islas  (hotel + apartamento)</t>
  </si>
  <si>
    <t>1*, 2* Y 3*</t>
  </si>
  <si>
    <t>Total Turistas</t>
  </si>
  <si>
    <t>Total España</t>
  </si>
  <si>
    <t>Total 
categorías</t>
  </si>
  <si>
    <t>Alojados 
hoteleros</t>
  </si>
  <si>
    <t>5*</t>
  </si>
  <si>
    <t>Residentes en Tenerife</t>
  </si>
  <si>
    <t>4*</t>
  </si>
  <si>
    <t>Residentes resto de Canarias</t>
  </si>
  <si>
    <t>3*</t>
  </si>
  <si>
    <t>1*</t>
  </si>
  <si>
    <t>FUENTE: Desarrollo Económico, Cabildo Insular de Tenerife. ELABORACIÓN: Turismo de Tenerife.</t>
  </si>
  <si>
    <t>Alojados 
extrahoteleros</t>
  </si>
  <si>
    <t>Turismo español alojado en Tenerife por lugar de residencia</t>
  </si>
  <si>
    <t>%/s total España</t>
  </si>
  <si>
    <t>%/ total turistas</t>
  </si>
  <si>
    <t>Var. Interanual</t>
  </si>
  <si>
    <t>diferencia</t>
  </si>
  <si>
    <t>Distribución de viajeros peninsulares entrados en hotelera y apartamentos de Tenerife por lugar categoría del alojamiento</t>
  </si>
  <si>
    <t>Total viajeros españoles</t>
  </si>
  <si>
    <t>Hoteles</t>
  </si>
  <si>
    <t>Apartamentos</t>
  </si>
  <si>
    <t>,</t>
  </si>
  <si>
    <t>Viajeros españoles entrados en los hoteles y apartamentos de Tenerife por tipología y categoría de alojamiento</t>
  </si>
  <si>
    <t xml:space="preserve">Observación: en 2022 no se publica desagregación por categorías
FUENTE: Desarrollo Económico, Cabildo Insular de Tenerife. ELABORACIÓN: Turismo de Tenerife. </t>
  </si>
  <si>
    <t>Distribución de viajeros peninsulares entrados en hoteles y apartamentos de Tenerife por lugar categoría del alojamiento</t>
  </si>
  <si>
    <t>Total viajeros peninsulares</t>
  </si>
  <si>
    <t>Viajeros peninsulares entrados en los hoteles y apartamentos de Tenerife por tipología y categoría de alojamiento</t>
  </si>
  <si>
    <t>Total viajeros canarios</t>
  </si>
  <si>
    <t>hotelera</t>
  </si>
  <si>
    <t>Viajeros canarios entrados en los hoteles y apartamentos de Tenerife por tipología y categoría de alojamiento</t>
  </si>
  <si>
    <t>Distribución de viajeros españoles entrados en hoteles y apartamentos de Tenerife por municipio de alojamiento</t>
  </si>
  <si>
    <t>Viajeros españoles entrados en los hoteles y apartamentos de Tenerife por municipio de alojamiento</t>
  </si>
  <si>
    <t>Total Tenerife</t>
  </si>
  <si>
    <t>Resto de municipios de Tenerife</t>
  </si>
  <si>
    <t>Distribución de viajeros peninsulares entrados en hoteles y apartamentos de Tenerife por municipio de alojamiento</t>
  </si>
  <si>
    <t>Viajeros peninsulares entrados en los hoteles y apartamentos de Tenerife por municipio de alojamiento</t>
  </si>
  <si>
    <t>Distribución de viajeros canarios entrados en hoteles y apartamentos de Tenerife por municipio de alojamiento</t>
  </si>
  <si>
    <t>Viajeros canarios entrados en los hoteles y apartamentos de Tenerife por municipio de alojamiento</t>
  </si>
  <si>
    <t>Españoles</t>
  </si>
  <si>
    <t>peninsulares</t>
  </si>
  <si>
    <t>Canarios</t>
  </si>
  <si>
    <t>Acumulado julio 2026</t>
  </si>
  <si>
    <t>Resumen indicadores Santa Cruz de Tenerife</t>
  </si>
  <si>
    <t>Evolución mensual de viajeros entrados en Santa Cruz de Tenerife según lugar de residencia</t>
  </si>
  <si>
    <t>Evolución mensual de viajeros entrados en Santa Cruz de Tenerife según categoría del establecimiento</t>
  </si>
  <si>
    <t>Evolución anual de viajeros entrados en Santa Cruz de Tenerife según categoría del establecimiento</t>
  </si>
  <si>
    <t>Evolución mensual de pernoctaciones en Santa Cruz de Tenerife según lugar de residencia</t>
  </si>
  <si>
    <t>Evolución mensual de pernoctaciones en Santa Cruz de Tenerife según categoría del establecimiento</t>
  </si>
  <si>
    <t>Evolución mensual de estancia media en Santa Cruz de Tenerife según lugar de residencia</t>
  </si>
  <si>
    <t>Evolución mensual de estancia media en Santa Cruz de Tenerife según categoría del establecimiento</t>
  </si>
  <si>
    <t>Evolución mensual de tasa de ocupación en Santa Cruz de Tenerife según categoría del establecimiento</t>
  </si>
  <si>
    <t>Viajeros españoles entrados en los hotelera y apartamentos de Santa Cruz de Tenerife según lugar de residencia - acumulado</t>
  </si>
  <si>
    <t>Viajeros españoles entrados en los hotelera y apartamentos de Santa Cruz de Tenerife por tipología y categoría de alojamiento - acumulado</t>
  </si>
  <si>
    <t>Viajeros peninsulares entrados en los hotelera y apartamentos de Santa Cruz de Tenerife por tipología y categoría de alojamiento - acumulado</t>
  </si>
  <si>
    <t>Viajeros canarios entrados en los hotelera y apartamentos de Santa Cruz de Tenerife por tipología y categoría de alojamiento - acumulado</t>
  </si>
  <si>
    <t>Resumen de indicadores turísticos de Tenerife-Santa Cruz de Tenerife</t>
  </si>
  <si>
    <t>julio 2022</t>
  </si>
  <si>
    <t>julio 2023</t>
  </si>
  <si>
    <t>julio 2024</t>
  </si>
  <si>
    <t>julio 2025</t>
  </si>
  <si>
    <t>julio 2026</t>
  </si>
  <si>
    <t>-</t>
  </si>
  <si>
    <t>acumulado a julio 2022</t>
  </si>
  <si>
    <t>acumulado a julio 2023</t>
  </si>
  <si>
    <t>acumulado a julio 2024</t>
  </si>
  <si>
    <t>acumulado a julio 2025</t>
  </si>
  <si>
    <t>acumulado a julio 2026</t>
  </si>
  <si>
    <t>Viajeros  entrados en los establecimientos alojativos de Santa Cruz de Tenerife 
(hotel + apartamento)</t>
  </si>
  <si>
    <t>Viajeros españoles entrados en los establecimientos alojativos de Santa Cruz de Tenerife 
(hotel + apartamento)</t>
  </si>
  <si>
    <t>Viajeros peninsulares entrados en los establecimientos alojativos de Santa Cruz de Tenerife 
(hotel + apartamento)</t>
  </si>
  <si>
    <t>Viajeros canarios entrados en los establecimientos alojativos de Santa Cruz de Tenerife 
(hotel + apartamento)</t>
  </si>
  <si>
    <t>Viajeros extranjeros entrados en los establecimientos alojativos de Santa Cruz de Tenerife 
(hotel + apartamento)</t>
  </si>
  <si>
    <t>Viajeros británicos entrados en los establecimientos alojativos de Santa Cruz de Tenerife 
(hotel + apartamento)</t>
  </si>
  <si>
    <t>Viajeros alemanes entrados en los establecimientos alojativos de Santa Cruz de Tenerife 
(hotel + apartamento)</t>
  </si>
  <si>
    <t>Viajeros franceses entrados en los establecimientos alojativos de Santa Cruz de Tenerife 
(hotel + apartamento)</t>
  </si>
  <si>
    <t>Viajeros belgas entrados en los establecimientos alojativos de Santa Cruz de Tenerife 
(hotel + apartamento)</t>
  </si>
  <si>
    <t>Viajeros holandeses entrados en los establecimientos alojativos de Santa Cruz de Tenerife 
(hotel + apartamento)</t>
  </si>
  <si>
    <t>Viajeros daneses entrados en los establecimientos alojativos de Santa Cruz de Tenerife 
(hotel + apartamento)</t>
  </si>
  <si>
    <t>Viajeros suecos entrados en los establecimientos alojativos de Santa Cruz de Tenerife 
(hotel + apartamento)</t>
  </si>
  <si>
    <t>var 23/22</t>
  </si>
  <si>
    <t>var 24/23</t>
  </si>
  <si>
    <t>var 25/24</t>
  </si>
  <si>
    <t>Viajeros entrados en los establecimientos alojativos de Santa Cruz de Tenerife 
(hotel + apartamento)</t>
  </si>
  <si>
    <t>Viajeros entrados en los hoteles de Santa Cruz de Tenerife</t>
  </si>
  <si>
    <t>Viajeros entrados en los hoteles de 4, 5 estrellas Santa Cruz de Tenerife</t>
  </si>
  <si>
    <t>Viajeros entrados en los hoteles de 1, 2, 3 estrellas Santa Cruz de Tenerife</t>
  </si>
  <si>
    <t>Evolución de viajeros entrados en los establecimientos alojativos de Santa Cruz de Tenerife 
(hotel + apartamento)</t>
  </si>
  <si>
    <t>Evolución de viajeros entrados en los hoteles de Santa Cruz de Tenerife</t>
  </si>
  <si>
    <t>Evolución de viajeros entrados en los hoteles de 4, 5 estrellas de Santa Cruz de Tenerife</t>
  </si>
  <si>
    <t>acumulado a julio 2021</t>
  </si>
  <si>
    <t>julio 2021</t>
  </si>
  <si>
    <t>Viajeros entrados en los establecimientos alojativos de Santa Cruz de Tenerife según lugar de residencia (hotel + apartamento)</t>
  </si>
  <si>
    <t>acumulado julio 2021</t>
  </si>
  <si>
    <t>acumulado julio 2022</t>
  </si>
  <si>
    <t>acumulado julio 2023</t>
  </si>
  <si>
    <t>acumulado julio 2024</t>
  </si>
  <si>
    <t>acumulado julio 2025</t>
  </si>
  <si>
    <t>acumulado julio 2026</t>
  </si>
  <si>
    <t>Viajeros entrados en los hoteles de Santa Cruz de Tenerife según lugar de residencia (hotel + apartamento)</t>
  </si>
  <si>
    <t>Viajeros entrados en los apartamentos de Santa Cruz de Tenerife según lugar de residencia (hotel + apartamento)</t>
  </si>
  <si>
    <t>Viajeros alojados en los establecimientos alojativos de Santa Cruz de Tenerife según lugar de residencia (hotel + apartamento)</t>
  </si>
  <si>
    <t>acumulado julio 2020</t>
  </si>
  <si>
    <t>Pernoctaciones realizadas por los turistas en los establecimientos alojativos de Santa Cruz de Tenerife (hotel + apartamento)</t>
  </si>
  <si>
    <t>Pernoctaciones realizadas por los turistas españoles en los establecimientos alojativos de Santa Cruz de Tenerife (hotel + apartamento)</t>
  </si>
  <si>
    <t>var 26/25</t>
  </si>
  <si>
    <t>Pernoctaciones realizadas por los procedentes de Península en los establecimientos alojativos de Santa Cruz de Tenerife (hotel + apartamento)</t>
  </si>
  <si>
    <t>Pernoctaciones realizadas por los procedentes de Canarias en los establecimientos alojativos de Santa Cruz de Tenerife (hotel + apartamento)</t>
  </si>
  <si>
    <t>Pernoctaciones realizadas por los procedentes de Total residentes en el extranjero en los establecimientos alojativos de Santa Cruz de Tenerife (hotel + apartamento)</t>
  </si>
  <si>
    <t>Pernoctaciones realizadas por los procedentes de Reino Unido en los establecimientos alojativos de Santa Cruz de Tenerife (hotel + apartamento)</t>
  </si>
  <si>
    <t>Pernoctaciones realizadas por los procedentes de Alemania en los establecimientos alojativos de Santa Cruz de Tenerife (hotel + apartamento)</t>
  </si>
  <si>
    <t>Pernoctaciones realizadas por los procedentes de Francia en los establecimientos alojativos de Santa Cruz de Tenerife (hotel + apartamento)</t>
  </si>
  <si>
    <t>Pernoctaciones realizadas por los procedentes de Bélgica en los establecimientos alojativos de Santa Cruz de Tenerife (hotel + apartamento)</t>
  </si>
  <si>
    <t>Pernoctaciones realizadas por los procedentes de Países Bajos en los establecimientos alojativos de Santa Cruz de Tenerife (hotel + apartamento)</t>
  </si>
  <si>
    <t>Pernoctaciones realizadas por los procedentes de Dinamarca en los establecimientos alojativos de Santa Cruz de Tenerife (hotel + apartamento)</t>
  </si>
  <si>
    <t>Pernoctaciones realizadas por los procedentes de Suecia en los establecimientos alojativos de Santa Cruz de Tenerife (hotel + apartamento)</t>
  </si>
  <si>
    <t>Pernoctaciones realizadas por los turistas en los hoteles de Santa Cruz de Tenerife</t>
  </si>
  <si>
    <t>Pernoctaciones realizadas por los turistas en los hoteles de 4 y 5 estrellas de Santa Cruz de Tenerife</t>
  </si>
  <si>
    <t>Pernoctaciones realizadas por los turistas en los hoteles de 1, 2 y 3 estrellas de Santa Cruz de Tenerife</t>
  </si>
  <si>
    <t>Estancia Media en los establecimientos alojativos de Santa Cruz de Tenerife
(hotel + apartamento)</t>
  </si>
  <si>
    <t>Estancia media de los viajeros españoles entrados en los establecimientos alojativos de Santa Cruz de Tenerife (hotel + apartamento)</t>
  </si>
  <si>
    <t>Estancia media de los viajeros peninsulares entrados en los establecimientos alojativos de Santa Cruz de Tenerife (hotel + apartamento)</t>
  </si>
  <si>
    <t>Estancia media de los viajeros canarios entrados en los establecimientos alojativos de Santa Cruz de Tenerife (hotel + apartamento)</t>
  </si>
  <si>
    <t>Estancia media de los viajeros extranjeros entrados en los establecimientos alojativos de Santa Cruz de Tenerife (hotel + apartamento)</t>
  </si>
  <si>
    <t>Estancia media de los viajeros británicos entrados en los establecimientos alojativos de Santa Cruz de Tenerife (hotel + apartamento)</t>
  </si>
  <si>
    <t>Estancia media de los viajeros alemanes entrados en los establecimientos alojativos de Santa Cruz de Tenerife (hotel + apartamento)</t>
  </si>
  <si>
    <t>Estancia media de los viajeros franceses entrados en los establecimientos alojativos de Santa Cruz de Tenerife (hotel + apartamento)</t>
  </si>
  <si>
    <t>Estancia media de los viajeros belgas entrados en los establecimientos alojativos de Santa Cruz de Tenerife (hotel + apartamento)</t>
  </si>
  <si>
    <t>Estancia media de los viajeros holandeses entrados en los establecimientos alojativos de Santa Cruz de Tenerife (hotel + apartamento)</t>
  </si>
  <si>
    <t>Estancia media de los viajeros daneses entrados en los establecimientos alojativos de Santa Cruz de Tenerife (hotel + apartamento)</t>
  </si>
  <si>
    <t>Estancia media de los viajeros suecos entrados en los establecimientos alojativos de Santa Cruz de Tenerife (hotel + apartamento)</t>
  </si>
  <si>
    <t>Estancia Media en los hoteles de Santa Cruz de Tenerife</t>
  </si>
  <si>
    <t>Estancia Media en los hoteles de 4, 5 estrellas de Santa Cruz de Tenerife</t>
  </si>
  <si>
    <t>Estancia Media en los hoteles de 1, 2, 3 Estrellas de Santa Cruz de Tenerife</t>
  </si>
  <si>
    <t>Tasa de ocupación por plaza en los establecimientos alojativos de Santa Cruz de Tenerife
(hotel + apartamento)</t>
  </si>
  <si>
    <t>Tasa de ocupación por plaza en los hoteles de Santa Cruz de Tenerife</t>
  </si>
  <si>
    <t>Tasa de ocupación por plaza en los hoteles de 4, 5 estrellas de Santa Cruz de Tenerife</t>
  </si>
  <si>
    <t>Tasa de ocupación por plaza en los hoteles de 1, 2 y 3 estrellas de Santa Cruz de Tenerife</t>
  </si>
  <si>
    <t>Distribución de viajeros españoles entrados en hoteles y apartamentos de Santa Cruz de Tenerife  por lugar de residencia</t>
  </si>
  <si>
    <t>Viajeros españoles entrados en los hoteles y apartamentos de Santa Cruz de Tenerife según lugar de residencia</t>
  </si>
  <si>
    <t>Viajeros españoles entrados en los hoteles y apartamentos de Santa Cruz de Tenerife por tipología y categoría de alojamiento</t>
  </si>
  <si>
    <t>Viajeros peninsulares entrados en los hoteles y apartamentos de Santa Cruz de Tenerife por tipología y categoría de alojamiento</t>
  </si>
  <si>
    <t>Viajeros canarios entrados en los hoteles y apartamentos de Santa Cruz de Tenerife por tipología y categoría de alojamiento</t>
  </si>
  <si>
    <t>Evolución de viajeros españoles entrados en los establecimientos alojativos de Santa Cruz de Tenerife
(hotel + apartamento)</t>
  </si>
  <si>
    <t>Evolución de viajeros peninsulares entrados en los establecimientos alojativos de Santa Cruz de Tenerife
(hotel + apartamento)</t>
  </si>
  <si>
    <t>Evolución de viajeros canarios entrados en los establecimientos alojativos de Santa Cruz de Tenerife
(hotel + apartamento)</t>
  </si>
  <si>
    <t>nd</t>
  </si>
  <si>
    <t>var. 26/25</t>
  </si>
  <si>
    <t>dif. 26/25</t>
  </si>
  <si>
    <t>var. 25/24</t>
  </si>
  <si>
    <t>dif. 25/24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</si>
</sst>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#,##0.0\ &quot;€&quot;"/>
    <numFmt numFmtId="166" formatCode="#,##0\ &quot;€&quot;"/>
    <numFmt numFmtId="167" formatCode="#,##0.00\ &quot;€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8"/>
      <color theme="1" tint="0.34998626667073579"/>
      <name val="Calibri"/>
      <family val="2"/>
      <scheme val="minor"/>
    </font>
    <font>
      <b/>
      <sz val="18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b/>
      <sz val="14"/>
      <color theme="9"/>
      <name val="Calibri"/>
      <family val="2"/>
      <scheme val="minor"/>
    </font>
    <font>
      <sz val="16"/>
      <color theme="1" tint="0.34998626667073579"/>
      <name val="Calibri"/>
      <family val="2"/>
      <scheme val="minor"/>
    </font>
    <font>
      <sz val="9"/>
      <color theme="1" tint="0.34998626667073579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b/>
      <sz val="11"/>
      <color theme="9"/>
      <name val="Calibri"/>
      <family val="2"/>
      <scheme val="minor"/>
    </font>
    <font>
      <sz val="11"/>
      <color theme="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sz val="10"/>
      <name val="Arial"/>
      <family val="2"/>
    </font>
    <font>
      <b/>
      <sz val="12"/>
      <color theme="9"/>
      <name val="Calibri"/>
      <family val="2"/>
      <scheme val="minor"/>
    </font>
    <font>
      <sz val="18"/>
      <color rgb="FFFF0000"/>
      <name val="Calibri"/>
      <family val="2"/>
      <scheme val="minor"/>
    </font>
    <font>
      <sz val="12"/>
      <color theme="9"/>
      <name val="Calibri"/>
      <family val="2"/>
      <scheme val="minor"/>
    </font>
    <font>
      <sz val="18"/>
      <color theme="1" tint="0.34998626667073579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1"/>
      <color theme="7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9F9F9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ck">
        <color theme="9"/>
      </bottom>
      <diagonal/>
    </border>
    <border>
      <left/>
      <right/>
      <top/>
      <bottom style="medium">
        <color theme="0" tint="-0.24994659260841701"/>
      </bottom>
      <diagonal/>
    </border>
    <border>
      <left/>
      <right/>
      <top/>
      <bottom style="medium">
        <color theme="9"/>
      </bottom>
      <diagonal/>
    </border>
    <border>
      <left style="medium">
        <color theme="0"/>
      </left>
      <right style="medium">
        <color theme="0"/>
      </right>
      <top/>
      <bottom style="thin">
        <color theme="9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 style="medium">
        <color theme="9"/>
      </top>
      <bottom/>
      <diagonal/>
    </border>
    <border>
      <left/>
      <right/>
      <top/>
      <bottom style="medium">
        <color theme="0"/>
      </bottom>
      <diagonal/>
    </border>
    <border>
      <left/>
      <right/>
      <top/>
      <bottom style="thin">
        <color theme="9" tint="-0.24994659260841701"/>
      </bottom>
      <diagonal/>
    </border>
    <border>
      <left style="thin">
        <color theme="0" tint="-0.14996795556505021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3"/>
      </top>
      <bottom style="thin">
        <color theme="1" tint="0.499984740745262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medium">
        <color theme="0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 style="thick">
        <color theme="0" tint="-0.14981536301767021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/>
      <top style="thick">
        <color theme="0" tint="-0.14981536301767021"/>
      </top>
      <bottom style="thick">
        <color theme="0" tint="-0.14981536301767021"/>
      </bottom>
      <diagonal/>
    </border>
    <border>
      <left style="thin">
        <color theme="0" tint="-0.149937437055574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/>
      <right style="thin">
        <color theme="0" tint="-0.14993743705557422"/>
      </right>
      <top style="thick">
        <color theme="0" tint="-0.14981536301767021"/>
      </top>
      <bottom style="thick">
        <color theme="0" tint="-0.14981536301767021"/>
      </bottom>
      <diagonal/>
    </border>
    <border>
      <left style="thick">
        <color theme="0" tint="-0.1498458815271462"/>
      </left>
      <right style="medium">
        <color theme="0"/>
      </right>
      <top/>
      <bottom style="medium">
        <color theme="0"/>
      </bottom>
      <diagonal/>
    </border>
    <border>
      <left style="thin">
        <color theme="0" tint="-0.14996795556505021"/>
      </left>
      <right style="thin">
        <color theme="0" tint="-0.14993743705557422"/>
      </right>
      <top/>
      <bottom style="medium">
        <color theme="0"/>
      </bottom>
      <diagonal/>
    </border>
    <border>
      <left style="thick">
        <color theme="0" tint="-0.14993743705557422"/>
      </left>
      <right style="medium">
        <color theme="0"/>
      </right>
      <top/>
      <bottom style="medium">
        <color theme="0"/>
      </bottom>
      <diagonal/>
    </border>
    <border>
      <left style="thick">
        <color theme="0" tint="-0.1498458815271462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9"/>
      </bottom>
      <diagonal/>
    </border>
    <border>
      <left style="thick">
        <color theme="0" tint="-0.1498458815271462"/>
      </left>
      <right/>
      <top/>
      <bottom style="thin">
        <color theme="9"/>
      </bottom>
      <diagonal/>
    </border>
    <border>
      <left/>
      <right style="thin">
        <color theme="0" tint="-0.14996795556505021"/>
      </right>
      <top/>
      <bottom style="thin">
        <color theme="9"/>
      </bottom>
      <diagonal/>
    </border>
    <border>
      <left style="thick">
        <color theme="0" tint="-0.14990691854609822"/>
      </left>
      <right/>
      <top style="thick">
        <color theme="0" tint="-0.14981536301767021"/>
      </top>
      <bottom style="thick">
        <color theme="0" tint="-0.14981536301767021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thin">
        <color theme="0" tint="-0.14996795556505021"/>
      </left>
      <right style="medium">
        <color theme="0"/>
      </right>
      <top/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dashed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0"/>
      </left>
      <right style="medium">
        <color theme="0"/>
      </right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/>
      <diagonal/>
    </border>
    <border>
      <left style="dashed">
        <color theme="0" tint="-0.34998626667073579"/>
      </left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dashed">
        <color theme="0" tint="-0.34998626667073579"/>
      </left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 style="dashed">
        <color theme="0" tint="-0.24994659260841701"/>
      </left>
      <right style="dashed">
        <color theme="0" tint="-0.24994659260841701"/>
      </right>
      <top style="thin">
        <color theme="0" tint="-0.24994659260841701"/>
      </top>
      <bottom/>
      <diagonal/>
    </border>
    <border>
      <left/>
      <right style="dashed">
        <color theme="0" tint="-0.34998626667073579"/>
      </right>
      <top style="thin">
        <color theme="0" tint="-0.34998626667073579"/>
      </top>
      <bottom/>
      <diagonal/>
    </border>
    <border>
      <left style="dashed">
        <color theme="0" tint="-0.34998626667073579"/>
      </left>
      <right style="dashed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theme="0" tint="-0.24994659260841701"/>
      </left>
      <right/>
      <top style="medium">
        <color theme="0"/>
      </top>
      <bottom/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14993743705557422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/>
    <xf numFmtId="1" fontId="21" fillId="0" borderId="0">
      <alignment vertical="center"/>
    </xf>
  </cellStyleXfs>
  <cellXfs count="31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1" xfId="0" applyFont="1" applyBorder="1"/>
    <xf numFmtId="0" fontId="9" fillId="0" borderId="0" xfId="2" applyFont="1" applyAlignment="1">
      <alignment horizontal="left" indent="3"/>
    </xf>
    <xf numFmtId="0" fontId="10" fillId="0" borderId="2" xfId="2" applyFont="1" applyFill="1" applyBorder="1" applyAlignment="1">
      <alignment horizontal="left" indent="1"/>
    </xf>
    <xf numFmtId="0" fontId="10" fillId="0" borderId="0" xfId="2" applyFont="1" applyFill="1" applyAlignment="1">
      <alignment horizontal="left" indent="1"/>
    </xf>
    <xf numFmtId="0" fontId="4" fillId="0" borderId="0" xfId="2" applyAlignment="1">
      <alignment horizontal="left" indent="3"/>
    </xf>
    <xf numFmtId="0" fontId="9" fillId="2" borderId="0" xfId="2" applyFont="1" applyFill="1" applyAlignment="1">
      <alignment horizontal="left" indent="3"/>
    </xf>
    <xf numFmtId="0" fontId="9" fillId="0" borderId="0" xfId="2" applyFont="1" applyAlignment="1">
      <alignment horizontal="left" wrapText="1" indent="3"/>
    </xf>
    <xf numFmtId="0" fontId="0" fillId="0" borderId="3" xfId="0" applyBorder="1"/>
    <xf numFmtId="17" fontId="7" fillId="3" borderId="4" xfId="0" applyNumberFormat="1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right" vertical="center" wrapText="1"/>
    </xf>
    <xf numFmtId="0" fontId="7" fillId="4" borderId="7" xfId="0" applyFont="1" applyFill="1" applyBorder="1"/>
    <xf numFmtId="3" fontId="7" fillId="4" borderId="7" xfId="0" applyNumberFormat="1" applyFont="1" applyFill="1" applyBorder="1"/>
    <xf numFmtId="164" fontId="7" fillId="4" borderId="7" xfId="1" applyNumberFormat="1" applyFont="1" applyFill="1" applyBorder="1" applyAlignment="1">
      <alignment horizontal="right"/>
    </xf>
    <xf numFmtId="164" fontId="7" fillId="4" borderId="7" xfId="1" applyNumberFormat="1" applyFont="1" applyFill="1" applyBorder="1"/>
    <xf numFmtId="0" fontId="7" fillId="4" borderId="0" xfId="0" applyFont="1" applyFill="1"/>
    <xf numFmtId="3" fontId="7" fillId="4" borderId="0" xfId="0" applyNumberFormat="1" applyFont="1" applyFill="1"/>
    <xf numFmtId="164" fontId="7" fillId="4" borderId="0" xfId="1" applyNumberFormat="1" applyFont="1" applyFill="1" applyAlignment="1">
      <alignment horizontal="right"/>
    </xf>
    <xf numFmtId="164" fontId="7" fillId="4" borderId="0" xfId="1" applyNumberFormat="1" applyFont="1" applyFill="1"/>
    <xf numFmtId="0" fontId="7" fillId="4" borderId="9" xfId="0" applyFont="1" applyFill="1" applyBorder="1"/>
    <xf numFmtId="3" fontId="7" fillId="4" borderId="9" xfId="0" applyNumberFormat="1" applyFont="1" applyFill="1" applyBorder="1" applyAlignment="1">
      <alignment horizontal="right"/>
    </xf>
    <xf numFmtId="164" fontId="7" fillId="4" borderId="9" xfId="1" applyNumberFormat="1" applyFont="1" applyFill="1" applyBorder="1" applyAlignment="1">
      <alignment horizontal="right"/>
    </xf>
    <xf numFmtId="0" fontId="7" fillId="0" borderId="7" xfId="0" applyFont="1" applyBorder="1"/>
    <xf numFmtId="3" fontId="7" fillId="0" borderId="7" xfId="0" applyNumberFormat="1" applyFont="1" applyBorder="1"/>
    <xf numFmtId="164" fontId="7" fillId="0" borderId="7" xfId="1" applyNumberFormat="1" applyFont="1" applyBorder="1" applyAlignment="1">
      <alignment horizontal="right"/>
    </xf>
    <xf numFmtId="3" fontId="7" fillId="0" borderId="0" xfId="0" applyNumberFormat="1" applyFont="1"/>
    <xf numFmtId="164" fontId="7" fillId="0" borderId="0" xfId="1" applyNumberFormat="1" applyFont="1" applyAlignment="1">
      <alignment horizontal="right"/>
    </xf>
    <xf numFmtId="164" fontId="7" fillId="0" borderId="0" xfId="1" applyNumberFormat="1" applyFont="1"/>
    <xf numFmtId="0" fontId="7" fillId="0" borderId="9" xfId="0" applyFont="1" applyBorder="1"/>
    <xf numFmtId="3" fontId="7" fillId="0" borderId="9" xfId="0" applyNumberFormat="1" applyFont="1" applyBorder="1" applyAlignment="1">
      <alignment horizontal="right"/>
    </xf>
    <xf numFmtId="164" fontId="7" fillId="0" borderId="9" xfId="1" applyNumberFormat="1" applyFont="1" applyBorder="1" applyAlignment="1">
      <alignment horizontal="right"/>
    </xf>
    <xf numFmtId="2" fontId="7" fillId="0" borderId="7" xfId="0" applyNumberFormat="1" applyFont="1" applyBorder="1"/>
    <xf numFmtId="164" fontId="7" fillId="0" borderId="7" xfId="1" applyNumberFormat="1" applyFont="1" applyFill="1" applyBorder="1" applyAlignment="1">
      <alignment horizontal="right"/>
    </xf>
    <xf numFmtId="4" fontId="7" fillId="0" borderId="7" xfId="0" applyNumberFormat="1" applyFont="1" applyBorder="1"/>
    <xf numFmtId="164" fontId="7" fillId="0" borderId="7" xfId="1" applyNumberFormat="1" applyFont="1" applyFill="1" applyBorder="1"/>
    <xf numFmtId="2" fontId="7" fillId="0" borderId="0" xfId="0" applyNumberFormat="1" applyFont="1"/>
    <xf numFmtId="164" fontId="7" fillId="0" borderId="0" xfId="1" applyNumberFormat="1" applyFont="1" applyFill="1" applyAlignment="1">
      <alignment horizontal="right"/>
    </xf>
    <xf numFmtId="4" fontId="7" fillId="0" borderId="0" xfId="0" applyNumberFormat="1" applyFont="1"/>
    <xf numFmtId="164" fontId="7" fillId="0" borderId="0" xfId="1" applyNumberFormat="1" applyFont="1" applyFill="1"/>
    <xf numFmtId="2" fontId="7" fillId="0" borderId="9" xfId="0" applyNumberFormat="1" applyFont="1" applyBorder="1" applyAlignment="1">
      <alignment horizontal="right"/>
    </xf>
    <xf numFmtId="4" fontId="7" fillId="4" borderId="7" xfId="0" applyNumberFormat="1" applyFont="1" applyFill="1" applyBorder="1"/>
    <xf numFmtId="0" fontId="7" fillId="4" borderId="0" xfId="0" applyFont="1" applyFill="1" applyAlignment="1">
      <alignment horizontal="left" vertical="center" wrapText="1"/>
    </xf>
    <xf numFmtId="4" fontId="7" fillId="4" borderId="0" xfId="0" applyNumberFormat="1" applyFont="1" applyFill="1"/>
    <xf numFmtId="164" fontId="7" fillId="4" borderId="9" xfId="1" applyNumberFormat="1" applyFont="1" applyFill="1" applyBorder="1"/>
    <xf numFmtId="0" fontId="0" fillId="0" borderId="11" xfId="0" applyBorder="1"/>
    <xf numFmtId="0" fontId="12" fillId="0" borderId="0" xfId="0" applyFont="1" applyAlignment="1">
      <alignment horizontal="left"/>
    </xf>
    <xf numFmtId="3" fontId="7" fillId="4" borderId="7" xfId="0" applyNumberFormat="1" applyFont="1" applyFill="1" applyBorder="1" applyAlignment="1">
      <alignment horizontal="right"/>
    </xf>
    <xf numFmtId="3" fontId="7" fillId="4" borderId="0" xfId="0" applyNumberFormat="1" applyFont="1" applyFill="1" applyAlignment="1">
      <alignment horizontal="right"/>
    </xf>
    <xf numFmtId="3" fontId="7" fillId="0" borderId="7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2" fontId="7" fillId="0" borderId="7" xfId="0" applyNumberFormat="1" applyFont="1" applyBorder="1" applyAlignment="1">
      <alignment horizontal="right"/>
    </xf>
    <xf numFmtId="2" fontId="7" fillId="0" borderId="0" xfId="0" applyNumberFormat="1" applyFont="1" applyAlignment="1">
      <alignment horizontal="right"/>
    </xf>
    <xf numFmtId="164" fontId="7" fillId="0" borderId="9" xfId="1" applyNumberFormat="1" applyFont="1" applyFill="1" applyBorder="1"/>
    <xf numFmtId="0" fontId="2" fillId="0" borderId="0" xfId="0" applyFont="1"/>
    <xf numFmtId="164" fontId="13" fillId="4" borderId="7" xfId="1" applyNumberFormat="1" applyFont="1" applyFill="1" applyBorder="1" applyAlignment="1">
      <alignment horizontal="right"/>
    </xf>
    <xf numFmtId="164" fontId="13" fillId="4" borderId="0" xfId="1" applyNumberFormat="1" applyFont="1" applyFill="1" applyAlignment="1">
      <alignment horizontal="right"/>
    </xf>
    <xf numFmtId="164" fontId="13" fillId="4" borderId="9" xfId="1" applyNumberFormat="1" applyFont="1" applyFill="1" applyBorder="1" applyAlignment="1">
      <alignment horizontal="right"/>
    </xf>
    <xf numFmtId="164" fontId="13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 applyAlignment="1">
      <alignment horizontal="right"/>
    </xf>
    <xf numFmtId="164" fontId="7" fillId="4" borderId="0" xfId="1" applyNumberFormat="1" applyFont="1" applyFill="1" applyBorder="1"/>
    <xf numFmtId="0" fontId="14" fillId="0" borderId="0" xfId="0" applyFont="1"/>
    <xf numFmtId="164" fontId="7" fillId="0" borderId="9" xfId="1" applyNumberFormat="1" applyFont="1" applyFill="1" applyBorder="1" applyAlignment="1">
      <alignment horizontal="right"/>
    </xf>
    <xf numFmtId="0" fontId="8" fillId="0" borderId="3" xfId="0" applyFont="1" applyBorder="1" applyAlignment="1">
      <alignment vertical="center" readingOrder="1"/>
    </xf>
    <xf numFmtId="0" fontId="15" fillId="2" borderId="7" xfId="0" applyFont="1" applyFill="1" applyBorder="1"/>
    <xf numFmtId="3" fontId="7" fillId="2" borderId="7" xfId="0" applyNumberFormat="1" applyFont="1" applyFill="1" applyBorder="1"/>
    <xf numFmtId="164" fontId="7" fillId="2" borderId="7" xfId="1" applyNumberFormat="1" applyFont="1" applyFill="1" applyBorder="1"/>
    <xf numFmtId="0" fontId="0" fillId="0" borderId="0" xfId="0" applyAlignment="1">
      <alignment horizontal="left"/>
    </xf>
    <xf numFmtId="3" fontId="7" fillId="4" borderId="9" xfId="0" applyNumberFormat="1" applyFont="1" applyFill="1" applyBorder="1"/>
    <xf numFmtId="164" fontId="7" fillId="0" borderId="0" xfId="1" applyNumberFormat="1" applyFont="1" applyBorder="1" applyAlignment="1">
      <alignment horizontal="right"/>
    </xf>
    <xf numFmtId="3" fontId="7" fillId="0" borderId="9" xfId="0" applyNumberFormat="1" applyFont="1" applyBorder="1"/>
    <xf numFmtId="164" fontId="7" fillId="0" borderId="9" xfId="1" applyNumberFormat="1" applyFont="1" applyBorder="1"/>
    <xf numFmtId="4" fontId="7" fillId="2" borderId="7" xfId="0" applyNumberFormat="1" applyFont="1" applyFill="1" applyBorder="1"/>
    <xf numFmtId="164" fontId="7" fillId="0" borderId="0" xfId="1" applyNumberFormat="1" applyFont="1" applyFill="1" applyBorder="1" applyAlignment="1">
      <alignment horizontal="right"/>
    </xf>
    <xf numFmtId="164" fontId="7" fillId="0" borderId="0" xfId="1" applyNumberFormat="1" applyFont="1" applyFill="1" applyBorder="1"/>
    <xf numFmtId="2" fontId="7" fillId="0" borderId="9" xfId="0" applyNumberFormat="1" applyFont="1" applyBorder="1"/>
    <xf numFmtId="4" fontId="7" fillId="0" borderId="9" xfId="0" applyNumberFormat="1" applyFont="1" applyBorder="1"/>
    <xf numFmtId="4" fontId="7" fillId="4" borderId="9" xfId="0" applyNumberFormat="1" applyFont="1" applyFill="1" applyBorder="1"/>
    <xf numFmtId="164" fontId="0" fillId="0" borderId="0" xfId="1" applyNumberFormat="1" applyFont="1"/>
    <xf numFmtId="164" fontId="7" fillId="0" borderId="7" xfId="1" applyNumberFormat="1" applyFont="1" applyBorder="1"/>
    <xf numFmtId="164" fontId="7" fillId="0" borderId="0" xfId="1" applyNumberFormat="1" applyFont="1" applyBorder="1"/>
    <xf numFmtId="0" fontId="8" fillId="0" borderId="3" xfId="3" applyFont="1" applyBorder="1" applyAlignment="1">
      <alignment vertical="center" readingOrder="1"/>
    </xf>
    <xf numFmtId="0" fontId="8" fillId="0" borderId="0" xfId="0" applyFont="1" applyAlignment="1">
      <alignment horizontal="left" vertical="center" wrapText="1" readingOrder="1"/>
    </xf>
    <xf numFmtId="0" fontId="8" fillId="0" borderId="15" xfId="0" applyFont="1" applyBorder="1" applyAlignment="1">
      <alignment horizontal="left" vertical="center" wrapText="1" readingOrder="1"/>
    </xf>
    <xf numFmtId="0" fontId="16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right" vertical="center"/>
    </xf>
    <xf numFmtId="0" fontId="7" fillId="3" borderId="0" xfId="0" applyFont="1" applyFill="1" applyAlignment="1">
      <alignment horizontal="right" vertical="center" wrapText="1"/>
    </xf>
    <xf numFmtId="0" fontId="16" fillId="3" borderId="17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right" vertical="center"/>
    </xf>
    <xf numFmtId="17" fontId="7" fillId="3" borderId="19" xfId="0" applyNumberFormat="1" applyFont="1" applyFill="1" applyBorder="1" applyAlignment="1">
      <alignment horizontal="right" vertical="center" wrapText="1"/>
    </xf>
    <xf numFmtId="0" fontId="17" fillId="2" borderId="20" xfId="0" applyFont="1" applyFill="1" applyBorder="1"/>
    <xf numFmtId="3" fontId="17" fillId="2" borderId="21" xfId="0" applyNumberFormat="1" applyFont="1" applyFill="1" applyBorder="1" applyAlignment="1">
      <alignment horizontal="right"/>
    </xf>
    <xf numFmtId="164" fontId="17" fillId="2" borderId="21" xfId="0" applyNumberFormat="1" applyFont="1" applyFill="1" applyBorder="1" applyAlignment="1">
      <alignment horizontal="right"/>
    </xf>
    <xf numFmtId="0" fontId="18" fillId="0" borderId="20" xfId="0" applyFont="1" applyBorder="1" applyAlignment="1">
      <alignment horizontal="left" indent="1"/>
    </xf>
    <xf numFmtId="3" fontId="18" fillId="0" borderId="20" xfId="0" applyNumberFormat="1" applyFont="1" applyBorder="1" applyAlignment="1">
      <alignment horizontal="right"/>
    </xf>
    <xf numFmtId="164" fontId="18" fillId="0" borderId="20" xfId="0" applyNumberFormat="1" applyFont="1" applyBorder="1" applyAlignment="1">
      <alignment horizontal="right"/>
    </xf>
    <xf numFmtId="0" fontId="7" fillId="0" borderId="0" xfId="0" applyFont="1" applyAlignment="1">
      <alignment horizontal="left" indent="2"/>
    </xf>
    <xf numFmtId="164" fontId="7" fillId="0" borderId="0" xfId="0" applyNumberFormat="1" applyFont="1" applyAlignment="1">
      <alignment horizontal="right"/>
    </xf>
    <xf numFmtId="3" fontId="17" fillId="2" borderId="20" xfId="0" applyNumberFormat="1" applyFont="1" applyFill="1" applyBorder="1" applyAlignment="1">
      <alignment horizontal="right"/>
    </xf>
    <xf numFmtId="164" fontId="17" fillId="2" borderId="20" xfId="0" applyNumberFormat="1" applyFont="1" applyFill="1" applyBorder="1" applyAlignment="1">
      <alignment horizontal="right"/>
    </xf>
    <xf numFmtId="0" fontId="7" fillId="0" borderId="22" xfId="0" applyFont="1" applyBorder="1"/>
    <xf numFmtId="3" fontId="7" fillId="0" borderId="22" xfId="0" applyNumberFormat="1" applyFont="1" applyBorder="1"/>
    <xf numFmtId="3" fontId="7" fillId="0" borderId="23" xfId="0" applyNumberFormat="1" applyFont="1" applyBorder="1"/>
    <xf numFmtId="164" fontId="7" fillId="0" borderId="22" xfId="0" applyNumberFormat="1" applyFont="1" applyBorder="1"/>
    <xf numFmtId="0" fontId="12" fillId="0" borderId="24" xfId="0" applyFont="1" applyBorder="1"/>
    <xf numFmtId="0" fontId="3" fillId="0" borderId="0" xfId="0" applyFont="1" applyAlignment="1">
      <alignment horizontal="left" indent="2"/>
    </xf>
    <xf numFmtId="0" fontId="8" fillId="0" borderId="15" xfId="0" applyFont="1" applyBorder="1" applyAlignment="1">
      <alignment vertical="center" readingOrder="1"/>
    </xf>
    <xf numFmtId="3" fontId="8" fillId="0" borderId="15" xfId="0" applyNumberFormat="1" applyFont="1" applyBorder="1" applyAlignment="1">
      <alignment vertical="center" readingOrder="1"/>
    </xf>
    <xf numFmtId="0" fontId="19" fillId="0" borderId="0" xfId="0" applyFont="1" applyAlignment="1">
      <alignment vertical="center" readingOrder="1"/>
    </xf>
    <xf numFmtId="0" fontId="8" fillId="0" borderId="0" xfId="0" applyFont="1" applyAlignment="1">
      <alignment vertical="center" readingOrder="1"/>
    </xf>
    <xf numFmtId="3" fontId="15" fillId="3" borderId="29" xfId="0" applyNumberFormat="1" applyFont="1" applyFill="1" applyBorder="1" applyAlignment="1">
      <alignment horizontal="center" vertical="center" wrapText="1"/>
    </xf>
    <xf numFmtId="0" fontId="7" fillId="3" borderId="30" xfId="0" applyFont="1" applyFill="1" applyBorder="1" applyAlignment="1">
      <alignment horizontal="center" vertical="center" wrapText="1"/>
    </xf>
    <xf numFmtId="3" fontId="15" fillId="3" borderId="3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3" fontId="7" fillId="0" borderId="32" xfId="0" applyNumberFormat="1" applyFont="1" applyBorder="1" applyAlignment="1">
      <alignment horizontal="right"/>
    </xf>
    <xf numFmtId="164" fontId="7" fillId="0" borderId="33" xfId="0" applyNumberFormat="1" applyFont="1" applyBorder="1" applyAlignment="1">
      <alignment horizontal="right"/>
    </xf>
    <xf numFmtId="0" fontId="22" fillId="0" borderId="34" xfId="4" applyNumberFormat="1" applyFont="1" applyBorder="1" applyAlignment="1" applyProtection="1">
      <alignment horizontal="center" vertical="center" wrapText="1"/>
      <protection hidden="1"/>
    </xf>
    <xf numFmtId="3" fontId="22" fillId="0" borderId="35" xfId="1" applyNumberFormat="1" applyFont="1" applyBorder="1" applyAlignment="1" applyProtection="1">
      <alignment vertical="center"/>
      <protection hidden="1"/>
    </xf>
    <xf numFmtId="164" fontId="22" fillId="0" borderId="36" xfId="4" applyNumberFormat="1" applyFont="1" applyBorder="1" applyAlignment="1" applyProtection="1">
      <alignment horizontal="right" vertical="center" wrapText="1"/>
      <protection hidden="1"/>
    </xf>
    <xf numFmtId="3" fontId="0" fillId="0" borderId="0" xfId="0" applyNumberFormat="1"/>
    <xf numFmtId="3" fontId="19" fillId="0" borderId="0" xfId="0" applyNumberFormat="1" applyFont="1" applyAlignment="1">
      <alignment vertical="center" readingOrder="1"/>
    </xf>
    <xf numFmtId="0" fontId="15" fillId="3" borderId="25" xfId="0" applyFont="1" applyFill="1" applyBorder="1" applyAlignment="1">
      <alignment horizontal="center" vertical="center" wrapText="1"/>
    </xf>
    <xf numFmtId="9" fontId="0" fillId="0" borderId="0" xfId="1" applyFont="1"/>
    <xf numFmtId="4" fontId="7" fillId="0" borderId="32" xfId="0" applyNumberFormat="1" applyFont="1" applyBorder="1" applyAlignment="1">
      <alignment horizontal="right"/>
    </xf>
    <xf numFmtId="164" fontId="12" fillId="0" borderId="24" xfId="1" applyNumberFormat="1" applyFont="1" applyBorder="1"/>
    <xf numFmtId="0" fontId="23" fillId="0" borderId="0" xfId="0" applyFont="1"/>
    <xf numFmtId="0" fontId="7" fillId="3" borderId="38" xfId="0" applyFont="1" applyFill="1" applyBorder="1" applyAlignment="1">
      <alignment horizontal="right" vertical="center" wrapText="1"/>
    </xf>
    <xf numFmtId="0" fontId="7" fillId="3" borderId="39" xfId="0" applyFont="1" applyFill="1" applyBorder="1" applyAlignment="1">
      <alignment horizontal="right" vertical="center"/>
    </xf>
    <xf numFmtId="0" fontId="7" fillId="3" borderId="16" xfId="0" applyFont="1" applyFill="1" applyBorder="1" applyAlignment="1">
      <alignment horizontal="right" vertical="center" wrapText="1"/>
    </xf>
    <xf numFmtId="0" fontId="22" fillId="2" borderId="0" xfId="0" applyFont="1" applyFill="1"/>
    <xf numFmtId="3" fontId="24" fillId="2" borderId="0" xfId="0" applyNumberFormat="1" applyFont="1" applyFill="1" applyAlignment="1">
      <alignment horizontal="right"/>
    </xf>
    <xf numFmtId="164" fontId="24" fillId="2" borderId="0" xfId="0" applyNumberFormat="1" applyFont="1" applyFill="1" applyAlignment="1">
      <alignment horizontal="right"/>
    </xf>
    <xf numFmtId="164" fontId="24" fillId="2" borderId="40" xfId="0" applyNumberFormat="1" applyFont="1" applyFill="1" applyBorder="1" applyAlignment="1">
      <alignment horizontal="right"/>
    </xf>
    <xf numFmtId="0" fontId="24" fillId="0" borderId="41" xfId="0" applyFont="1" applyBorder="1" applyAlignment="1">
      <alignment horizontal="left" indent="1"/>
    </xf>
    <xf numFmtId="3" fontId="24" fillId="0" borderId="41" xfId="0" applyNumberFormat="1" applyFont="1" applyBorder="1" applyAlignment="1">
      <alignment horizontal="right"/>
    </xf>
    <xf numFmtId="164" fontId="24" fillId="0" borderId="41" xfId="0" applyNumberFormat="1" applyFont="1" applyBorder="1" applyAlignment="1">
      <alignment horizontal="right"/>
    </xf>
    <xf numFmtId="0" fontId="24" fillId="0" borderId="0" xfId="0" applyFont="1" applyAlignment="1">
      <alignment horizontal="left" indent="1"/>
    </xf>
    <xf numFmtId="3" fontId="24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164" fontId="3" fillId="0" borderId="0" xfId="1" applyNumberFormat="1" applyFont="1"/>
    <xf numFmtId="0" fontId="8" fillId="0" borderId="3" xfId="0" applyFont="1" applyBorder="1" applyAlignment="1">
      <alignment horizontal="left" vertical="center" readingOrder="1"/>
    </xf>
    <xf numFmtId="0" fontId="8" fillId="0" borderId="3" xfId="0" applyFont="1" applyBorder="1" applyAlignment="1">
      <alignment vertical="center" wrapText="1" readingOrder="1"/>
    </xf>
    <xf numFmtId="0" fontId="0" fillId="3" borderId="6" xfId="0" applyFill="1" applyBorder="1"/>
    <xf numFmtId="0" fontId="0" fillId="0" borderId="0" xfId="0" applyAlignment="1">
      <alignment wrapText="1"/>
    </xf>
    <xf numFmtId="0" fontId="25" fillId="3" borderId="10" xfId="0" applyFont="1" applyFill="1" applyBorder="1" applyAlignment="1">
      <alignment horizontal="center" vertical="center" wrapText="1"/>
    </xf>
    <xf numFmtId="1" fontId="7" fillId="3" borderId="44" xfId="0" applyNumberFormat="1" applyFont="1" applyFill="1" applyBorder="1" applyAlignment="1">
      <alignment horizontal="right" vertical="center" wrapText="1"/>
    </xf>
    <xf numFmtId="1" fontId="7" fillId="3" borderId="45" xfId="0" applyNumberFormat="1" applyFont="1" applyFill="1" applyBorder="1" applyAlignment="1">
      <alignment horizontal="right" vertical="center" wrapText="1"/>
    </xf>
    <xf numFmtId="164" fontId="7" fillId="3" borderId="46" xfId="0" applyNumberFormat="1" applyFont="1" applyFill="1" applyBorder="1" applyAlignment="1">
      <alignment horizontal="right" vertical="center" wrapText="1"/>
    </xf>
    <xf numFmtId="3" fontId="7" fillId="3" borderId="47" xfId="0" applyNumberFormat="1" applyFont="1" applyFill="1" applyBorder="1" applyAlignment="1">
      <alignment horizontal="right" vertical="center" wrapText="1"/>
    </xf>
    <xf numFmtId="0" fontId="17" fillId="2" borderId="6" xfId="0" applyFont="1" applyFill="1" applyBorder="1"/>
    <xf numFmtId="3" fontId="17" fillId="2" borderId="7" xfId="0" applyNumberFormat="1" applyFont="1" applyFill="1" applyBorder="1" applyAlignment="1">
      <alignment horizontal="right"/>
    </xf>
    <xf numFmtId="164" fontId="17" fillId="2" borderId="7" xfId="0" applyNumberFormat="1" applyFont="1" applyFill="1" applyBorder="1" applyAlignment="1">
      <alignment horizontal="right"/>
    </xf>
    <xf numFmtId="0" fontId="17" fillId="2" borderId="8" xfId="0" applyFont="1" applyFill="1" applyBorder="1"/>
    <xf numFmtId="0" fontId="17" fillId="0" borderId="8" xfId="0" applyFont="1" applyBorder="1"/>
    <xf numFmtId="3" fontId="17" fillId="0" borderId="48" xfId="0" applyNumberFormat="1" applyFont="1" applyBorder="1" applyAlignment="1">
      <alignment horizontal="right"/>
    </xf>
    <xf numFmtId="164" fontId="17" fillId="0" borderId="49" xfId="0" applyNumberFormat="1" applyFont="1" applyBorder="1" applyAlignment="1">
      <alignment horizontal="right"/>
    </xf>
    <xf numFmtId="0" fontId="18" fillId="0" borderId="8" xfId="0" applyFont="1" applyBorder="1"/>
    <xf numFmtId="3" fontId="18" fillId="0" borderId="48" xfId="0" applyNumberFormat="1" applyFont="1" applyBorder="1" applyAlignment="1">
      <alignment horizontal="right"/>
    </xf>
    <xf numFmtId="164" fontId="18" fillId="0" borderId="49" xfId="0" applyNumberFormat="1" applyFont="1" applyBorder="1" applyAlignment="1">
      <alignment horizontal="right"/>
    </xf>
    <xf numFmtId="0" fontId="3" fillId="0" borderId="8" xfId="0" applyFont="1" applyBorder="1"/>
    <xf numFmtId="0" fontId="7" fillId="0" borderId="8" xfId="0" applyFont="1" applyBorder="1"/>
    <xf numFmtId="3" fontId="7" fillId="0" borderId="48" xfId="0" applyNumberFormat="1" applyFont="1" applyBorder="1" applyAlignment="1">
      <alignment horizontal="right"/>
    </xf>
    <xf numFmtId="164" fontId="7" fillId="0" borderId="49" xfId="0" applyNumberFormat="1" applyFont="1" applyBorder="1" applyAlignment="1">
      <alignment horizontal="right"/>
    </xf>
    <xf numFmtId="164" fontId="2" fillId="0" borderId="0" xfId="1" applyNumberFormat="1" applyFont="1"/>
    <xf numFmtId="0" fontId="3" fillId="0" borderId="10" xfId="0" applyFont="1" applyBorder="1"/>
    <xf numFmtId="0" fontId="7" fillId="0" borderId="10" xfId="0" applyFont="1" applyBorder="1"/>
    <xf numFmtId="3" fontId="7" fillId="0" borderId="50" xfId="0" applyNumberFormat="1" applyFont="1" applyBorder="1" applyAlignment="1">
      <alignment horizontal="right"/>
    </xf>
    <xf numFmtId="164" fontId="7" fillId="0" borderId="51" xfId="0" applyNumberFormat="1" applyFont="1" applyBorder="1" applyAlignment="1">
      <alignment horizontal="right"/>
    </xf>
    <xf numFmtId="0" fontId="12" fillId="0" borderId="0" xfId="0" applyFont="1"/>
    <xf numFmtId="3" fontId="7" fillId="3" borderId="54" xfId="0" applyNumberFormat="1" applyFont="1" applyFill="1" applyBorder="1" applyAlignment="1">
      <alignment horizontal="right" vertical="center" wrapText="1"/>
    </xf>
    <xf numFmtId="164" fontId="7" fillId="3" borderId="55" xfId="0" applyNumberFormat="1" applyFont="1" applyFill="1" applyBorder="1" applyAlignment="1">
      <alignment horizontal="right" vertical="center" wrapText="1"/>
    </xf>
    <xf numFmtId="3" fontId="17" fillId="2" borderId="0" xfId="0" applyNumberFormat="1" applyFont="1" applyFill="1" applyAlignment="1">
      <alignment horizontal="right"/>
    </xf>
    <xf numFmtId="164" fontId="17" fillId="2" borderId="0" xfId="0" applyNumberFormat="1" applyFont="1" applyFill="1" applyAlignment="1">
      <alignment horizontal="right"/>
    </xf>
    <xf numFmtId="3" fontId="17" fillId="0" borderId="56" xfId="0" applyNumberFormat="1" applyFont="1" applyBorder="1" applyAlignment="1">
      <alignment horizontal="right"/>
    </xf>
    <xf numFmtId="164" fontId="17" fillId="0" borderId="57" xfId="0" applyNumberFormat="1" applyFont="1" applyBorder="1" applyAlignment="1">
      <alignment horizontal="right"/>
    </xf>
    <xf numFmtId="164" fontId="18" fillId="0" borderId="49" xfId="1" applyNumberFormat="1" applyFont="1" applyBorder="1" applyAlignment="1">
      <alignment horizontal="right"/>
    </xf>
    <xf numFmtId="164" fontId="7" fillId="0" borderId="49" xfId="1" applyNumberFormat="1" applyFont="1" applyBorder="1" applyAlignment="1">
      <alignment horizontal="right"/>
    </xf>
    <xf numFmtId="164" fontId="7" fillId="0" borderId="51" xfId="1" applyNumberFormat="1" applyFont="1" applyBorder="1" applyAlignment="1">
      <alignment horizontal="right"/>
    </xf>
    <xf numFmtId="0" fontId="18" fillId="0" borderId="8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0" fillId="3" borderId="8" xfId="0" applyFill="1" applyBorder="1"/>
    <xf numFmtId="1" fontId="7" fillId="3" borderId="54" xfId="0" applyNumberFormat="1" applyFont="1" applyFill="1" applyBorder="1" applyAlignment="1">
      <alignment horizontal="right" vertical="center" wrapText="1"/>
    </xf>
    <xf numFmtId="0" fontId="25" fillId="3" borderId="8" xfId="0" applyFont="1" applyFill="1" applyBorder="1" applyAlignment="1">
      <alignment horizontal="center" vertical="center" wrapText="1"/>
    </xf>
    <xf numFmtId="2" fontId="7" fillId="0" borderId="32" xfId="0" applyNumberFormat="1" applyFont="1" applyBorder="1" applyAlignment="1">
      <alignment horizontal="right"/>
    </xf>
    <xf numFmtId="2" fontId="7" fillId="0" borderId="33" xfId="0" applyNumberFormat="1" applyFont="1" applyBorder="1" applyAlignment="1">
      <alignment horizontal="right"/>
    </xf>
    <xf numFmtId="2" fontId="22" fillId="0" borderId="35" xfId="1" applyNumberFormat="1" applyFont="1" applyBorder="1" applyAlignment="1" applyProtection="1">
      <alignment vertical="center"/>
      <protection hidden="1"/>
    </xf>
    <xf numFmtId="2" fontId="22" fillId="0" borderId="36" xfId="4" applyNumberFormat="1" applyFont="1" applyBorder="1" applyAlignment="1" applyProtection="1">
      <alignment horizontal="right" vertical="center" wrapText="1"/>
      <protection hidden="1"/>
    </xf>
    <xf numFmtId="2" fontId="8" fillId="0" borderId="15" xfId="0" applyNumberFormat="1" applyFont="1" applyBorder="1" applyAlignment="1">
      <alignment vertical="center" readingOrder="1"/>
    </xf>
    <xf numFmtId="2" fontId="0" fillId="0" borderId="0" xfId="0" applyNumberFormat="1"/>
    <xf numFmtId="2" fontId="12" fillId="0" borderId="24" xfId="0" applyNumberFormat="1" applyFont="1" applyBorder="1"/>
    <xf numFmtId="2" fontId="0" fillId="0" borderId="0" xfId="1" applyNumberFormat="1" applyFont="1"/>
    <xf numFmtId="0" fontId="26" fillId="0" borderId="0" xfId="0" applyFont="1"/>
    <xf numFmtId="164" fontId="7" fillId="0" borderId="32" xfId="1" applyNumberFormat="1" applyFont="1" applyBorder="1" applyAlignment="1">
      <alignment horizontal="right"/>
    </xf>
    <xf numFmtId="10" fontId="0" fillId="0" borderId="0" xfId="1" applyNumberFormat="1" applyFont="1"/>
    <xf numFmtId="164" fontId="22" fillId="0" borderId="35" xfId="1" applyNumberFormat="1" applyFont="1" applyBorder="1" applyAlignment="1" applyProtection="1">
      <alignment vertical="center"/>
      <protection hidden="1"/>
    </xf>
    <xf numFmtId="164" fontId="0" fillId="0" borderId="0" xfId="0" applyNumberFormat="1"/>
    <xf numFmtId="165" fontId="0" fillId="0" borderId="0" xfId="0" applyNumberFormat="1"/>
    <xf numFmtId="17" fontId="7" fillId="3" borderId="58" xfId="0" applyNumberFormat="1" applyFont="1" applyFill="1" applyBorder="1" applyAlignment="1">
      <alignment horizontal="right" vertical="center" wrapText="1"/>
    </xf>
    <xf numFmtId="17" fontId="7" fillId="3" borderId="59" xfId="0" applyNumberFormat="1" applyFont="1" applyFill="1" applyBorder="1" applyAlignment="1">
      <alignment horizontal="right" vertical="center" wrapText="1"/>
    </xf>
    <xf numFmtId="0" fontId="7" fillId="3" borderId="60" xfId="0" applyFont="1" applyFill="1" applyBorder="1" applyAlignment="1">
      <alignment horizontal="right" vertical="center" wrapText="1"/>
    </xf>
    <xf numFmtId="164" fontId="7" fillId="3" borderId="0" xfId="0" applyNumberFormat="1" applyFont="1" applyFill="1" applyAlignment="1">
      <alignment horizontal="right" vertical="center"/>
    </xf>
    <xf numFmtId="0" fontId="17" fillId="2" borderId="7" xfId="0" applyFont="1" applyFill="1" applyBorder="1"/>
    <xf numFmtId="165" fontId="24" fillId="2" borderId="61" xfId="1" applyNumberFormat="1" applyFont="1" applyFill="1" applyBorder="1" applyAlignment="1">
      <alignment horizontal="right"/>
    </xf>
    <xf numFmtId="165" fontId="24" fillId="2" borderId="0" xfId="0" applyNumberFormat="1" applyFont="1" applyFill="1" applyAlignment="1">
      <alignment horizontal="right"/>
    </xf>
    <xf numFmtId="165" fontId="24" fillId="2" borderId="0" xfId="1" applyNumberFormat="1" applyFont="1" applyFill="1" applyBorder="1" applyAlignment="1">
      <alignment horizontal="right"/>
    </xf>
    <xf numFmtId="165" fontId="24" fillId="2" borderId="40" xfId="1" applyNumberFormat="1" applyFont="1" applyFill="1" applyBorder="1" applyAlignment="1">
      <alignment horizontal="right"/>
    </xf>
    <xf numFmtId="3" fontId="24" fillId="2" borderId="61" xfId="0" applyNumberFormat="1" applyFont="1" applyFill="1" applyBorder="1" applyAlignment="1">
      <alignment horizontal="right"/>
    </xf>
    <xf numFmtId="166" fontId="24" fillId="2" borderId="61" xfId="1" applyNumberFormat="1" applyFont="1" applyFill="1" applyBorder="1" applyAlignment="1">
      <alignment horizontal="right"/>
    </xf>
    <xf numFmtId="166" fontId="24" fillId="2" borderId="40" xfId="1" applyNumberFormat="1" applyFont="1" applyFill="1" applyBorder="1" applyAlignment="1">
      <alignment horizontal="right"/>
    </xf>
    <xf numFmtId="165" fontId="7" fillId="0" borderId="13" xfId="1" applyNumberFormat="1" applyFont="1" applyBorder="1" applyAlignment="1">
      <alignment horizontal="right"/>
    </xf>
    <xf numFmtId="165" fontId="7" fillId="0" borderId="0" xfId="1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166" fontId="7" fillId="0" borderId="13" xfId="1" applyNumberFormat="1" applyFont="1" applyBorder="1" applyAlignment="1">
      <alignment horizontal="right"/>
    </xf>
    <xf numFmtId="166" fontId="7" fillId="0" borderId="0" xfId="1" applyNumberFormat="1" applyFont="1" applyBorder="1" applyAlignment="1">
      <alignment horizontal="right"/>
    </xf>
    <xf numFmtId="0" fontId="12" fillId="0" borderId="0" xfId="0" applyFont="1" applyAlignment="1">
      <alignment wrapText="1"/>
    </xf>
    <xf numFmtId="0" fontId="16" fillId="0" borderId="0" xfId="0" applyFont="1" applyAlignment="1">
      <alignment wrapText="1"/>
    </xf>
    <xf numFmtId="0" fontId="7" fillId="0" borderId="0" xfId="0" applyFont="1" applyAlignment="1">
      <alignment wrapText="1"/>
    </xf>
    <xf numFmtId="167" fontId="17" fillId="2" borderId="21" xfId="0" applyNumberFormat="1" applyFont="1" applyFill="1" applyBorder="1" applyAlignment="1">
      <alignment horizontal="right"/>
    </xf>
    <xf numFmtId="167" fontId="17" fillId="2" borderId="21" xfId="1" applyNumberFormat="1" applyFont="1" applyFill="1" applyBorder="1" applyAlignment="1">
      <alignment horizontal="right"/>
    </xf>
    <xf numFmtId="167" fontId="18" fillId="0" borderId="20" xfId="0" applyNumberFormat="1" applyFont="1" applyBorder="1" applyAlignment="1">
      <alignment horizontal="right"/>
    </xf>
    <xf numFmtId="167" fontId="18" fillId="0" borderId="20" xfId="1" applyNumberFormat="1" applyFont="1" applyBorder="1" applyAlignment="1">
      <alignment horizontal="right"/>
    </xf>
    <xf numFmtId="167" fontId="7" fillId="0" borderId="0" xfId="0" applyNumberFormat="1" applyFont="1" applyAlignment="1">
      <alignment horizontal="right"/>
    </xf>
    <xf numFmtId="167" fontId="7" fillId="0" borderId="0" xfId="1" applyNumberFormat="1" applyFont="1" applyAlignment="1">
      <alignment horizontal="right"/>
    </xf>
    <xf numFmtId="167" fontId="17" fillId="2" borderId="20" xfId="0" applyNumberFormat="1" applyFont="1" applyFill="1" applyBorder="1" applyAlignment="1">
      <alignment horizontal="right"/>
    </xf>
    <xf numFmtId="167" fontId="17" fillId="2" borderId="20" xfId="1" applyNumberFormat="1" applyFont="1" applyFill="1" applyBorder="1" applyAlignment="1">
      <alignment horizontal="right"/>
    </xf>
    <xf numFmtId="0" fontId="0" fillId="0" borderId="0" xfId="0" applyAlignment="1">
      <alignment horizontal="center"/>
    </xf>
    <xf numFmtId="0" fontId="10" fillId="4" borderId="11" xfId="0" applyFont="1" applyFill="1" applyBorder="1"/>
    <xf numFmtId="3" fontId="22" fillId="4" borderId="11" xfId="0" applyNumberFormat="1" applyFont="1" applyFill="1" applyBorder="1" applyAlignment="1">
      <alignment horizontal="right" vertical="center" wrapText="1"/>
    </xf>
    <xf numFmtId="164" fontId="22" fillId="4" borderId="11" xfId="1" applyNumberFormat="1" applyFont="1" applyFill="1" applyBorder="1" applyAlignment="1">
      <alignment horizontal="right" vertical="center" wrapText="1"/>
    </xf>
    <xf numFmtId="0" fontId="24" fillId="0" borderId="11" xfId="0" applyFont="1" applyBorder="1"/>
    <xf numFmtId="3" fontId="18" fillId="0" borderId="11" xfId="0" applyNumberFormat="1" applyFont="1" applyBorder="1" applyAlignment="1">
      <alignment horizontal="right" vertical="center" wrapText="1"/>
    </xf>
    <xf numFmtId="164" fontId="18" fillId="0" borderId="11" xfId="1" applyNumberFormat="1" applyFont="1" applyBorder="1" applyAlignment="1">
      <alignment horizontal="right" vertical="center" wrapText="1"/>
    </xf>
    <xf numFmtId="0" fontId="15" fillId="0" borderId="7" xfId="0" applyFont="1" applyBorder="1"/>
    <xf numFmtId="3" fontId="15" fillId="0" borderId="0" xfId="0" applyNumberFormat="1" applyFont="1"/>
    <xf numFmtId="164" fontId="15" fillId="4" borderId="7" xfId="1" applyNumberFormat="1" applyFont="1" applyFill="1" applyBorder="1"/>
    <xf numFmtId="3" fontId="15" fillId="4" borderId="7" xfId="0" applyNumberFormat="1" applyFont="1" applyFill="1" applyBorder="1"/>
    <xf numFmtId="164" fontId="15" fillId="0" borderId="7" xfId="1" applyNumberFormat="1" applyFont="1" applyBorder="1"/>
    <xf numFmtId="0" fontId="7" fillId="0" borderId="0" xfId="0" applyFont="1" applyAlignment="1">
      <alignment horizontal="left" indent="1"/>
    </xf>
    <xf numFmtId="0" fontId="7" fillId="0" borderId="62" xfId="0" applyFont="1" applyBorder="1"/>
    <xf numFmtId="3" fontId="22" fillId="4" borderId="0" xfId="0" applyNumberFormat="1" applyFont="1" applyFill="1" applyAlignment="1">
      <alignment horizontal="right" vertical="center" wrapText="1"/>
    </xf>
    <xf numFmtId="3" fontId="18" fillId="0" borderId="0" xfId="0" applyNumberFormat="1" applyFont="1" applyAlignment="1">
      <alignment horizontal="right" vertical="center" wrapText="1"/>
    </xf>
    <xf numFmtId="0" fontId="15" fillId="0" borderId="0" xfId="0" applyFont="1"/>
    <xf numFmtId="3" fontId="15" fillId="4" borderId="0" xfId="0" applyNumberFormat="1" applyFont="1" applyFill="1"/>
    <xf numFmtId="3" fontId="7" fillId="3" borderId="6" xfId="0" applyNumberFormat="1" applyFont="1" applyFill="1" applyBorder="1" applyAlignment="1">
      <alignment horizontal="right" vertical="center" wrapText="1"/>
    </xf>
    <xf numFmtId="164" fontId="7" fillId="3" borderId="6" xfId="0" applyNumberFormat="1" applyFont="1" applyFill="1" applyBorder="1" applyAlignment="1">
      <alignment horizontal="right" vertical="center" wrapText="1"/>
    </xf>
    <xf numFmtId="3" fontId="22" fillId="4" borderId="63" xfId="0" applyNumberFormat="1" applyFont="1" applyFill="1" applyBorder="1" applyAlignment="1">
      <alignment horizontal="right" vertical="center" wrapText="1"/>
    </xf>
    <xf numFmtId="164" fontId="22" fillId="4" borderId="63" xfId="1" applyNumberFormat="1" applyFont="1" applyFill="1" applyBorder="1" applyAlignment="1">
      <alignment horizontal="right" vertical="center" wrapText="1"/>
    </xf>
    <xf numFmtId="0" fontId="27" fillId="0" borderId="0" xfId="0" applyFont="1" applyAlignment="1">
      <alignment horizontal="left" indent="1"/>
    </xf>
    <xf numFmtId="3" fontId="27" fillId="0" borderId="8" xfId="0" applyNumberFormat="1" applyFont="1" applyBorder="1"/>
    <xf numFmtId="164" fontId="27" fillId="0" borderId="8" xfId="1" applyNumberFormat="1" applyFont="1" applyBorder="1"/>
    <xf numFmtId="164" fontId="27" fillId="4" borderId="8" xfId="1" applyNumberFormat="1" applyFont="1" applyFill="1" applyBorder="1"/>
    <xf numFmtId="3" fontId="27" fillId="4" borderId="8" xfId="0" applyNumberFormat="1" applyFont="1" applyFill="1" applyBorder="1"/>
    <xf numFmtId="164" fontId="27" fillId="4" borderId="8" xfId="1" applyNumberFormat="1" applyFont="1" applyFill="1" applyBorder="1" applyAlignment="1">
      <alignment horizontal="right"/>
    </xf>
    <xf numFmtId="3" fontId="27" fillId="4" borderId="8" xfId="0" applyNumberFormat="1" applyFont="1" applyFill="1" applyBorder="1" applyAlignment="1">
      <alignment horizontal="right"/>
    </xf>
    <xf numFmtId="3" fontId="7" fillId="0" borderId="8" xfId="0" applyNumberFormat="1" applyFont="1" applyBorder="1"/>
    <xf numFmtId="164" fontId="15" fillId="0" borderId="8" xfId="1" applyNumberFormat="1" applyFont="1" applyBorder="1"/>
    <xf numFmtId="164" fontId="15" fillId="4" borderId="8" xfId="1" applyNumberFormat="1" applyFont="1" applyFill="1" applyBorder="1" applyAlignment="1">
      <alignment horizontal="right"/>
    </xf>
    <xf numFmtId="3" fontId="15" fillId="4" borderId="8" xfId="0" applyNumberFormat="1" applyFont="1" applyFill="1" applyBorder="1"/>
    <xf numFmtId="164" fontId="7" fillId="4" borderId="8" xfId="1" applyNumberFormat="1" applyFont="1" applyFill="1" applyBorder="1" applyAlignment="1">
      <alignment horizontal="right"/>
    </xf>
    <xf numFmtId="3" fontId="7" fillId="4" borderId="8" xfId="0" applyNumberFormat="1" applyFont="1" applyFill="1" applyBorder="1" applyAlignment="1">
      <alignment horizontal="right"/>
    </xf>
    <xf numFmtId="164" fontId="7" fillId="0" borderId="8" xfId="1" applyNumberFormat="1" applyFont="1" applyBorder="1"/>
    <xf numFmtId="3" fontId="7" fillId="4" borderId="8" xfId="0" applyNumberFormat="1" applyFont="1" applyFill="1" applyBorder="1"/>
    <xf numFmtId="164" fontId="7" fillId="4" borderId="8" xfId="1" applyNumberFormat="1" applyFont="1" applyFill="1" applyBorder="1"/>
    <xf numFmtId="3" fontId="27" fillId="0" borderId="8" xfId="0" applyNumberFormat="1" applyFont="1" applyBorder="1" applyAlignment="1">
      <alignment horizontal="right"/>
    </xf>
    <xf numFmtId="164" fontId="27" fillId="0" borderId="8" xfId="1" applyNumberFormat="1" applyFont="1" applyBorder="1" applyAlignment="1">
      <alignment horizontal="right"/>
    </xf>
    <xf numFmtId="0" fontId="7" fillId="0" borderId="62" xfId="0" applyFont="1" applyBorder="1" applyAlignment="1">
      <alignment horizontal="right"/>
    </xf>
    <xf numFmtId="164" fontId="15" fillId="4" borderId="8" xfId="1" applyNumberFormat="1" applyFont="1" applyFill="1" applyBorder="1"/>
    <xf numFmtId="3" fontId="7" fillId="4" borderId="8" xfId="1" applyNumberFormat="1" applyFont="1" applyFill="1" applyBorder="1"/>
    <xf numFmtId="3" fontId="15" fillId="4" borderId="8" xfId="1" applyNumberFormat="1" applyFont="1" applyFill="1" applyBorder="1"/>
    <xf numFmtId="0" fontId="8" fillId="0" borderId="3" xfId="0" applyFont="1" applyBorder="1" applyAlignment="1">
      <alignment horizontal="left" vertical="center" wrapText="1" readingOrder="1"/>
    </xf>
    <xf numFmtId="0" fontId="11" fillId="4" borderId="6" xfId="0" applyFont="1" applyFill="1" applyBorder="1" applyAlignment="1">
      <alignment horizontal="center" vertical="center" textRotation="90"/>
    </xf>
    <xf numFmtId="0" fontId="11" fillId="4" borderId="8" xfId="0" applyFont="1" applyFill="1" applyBorder="1" applyAlignment="1">
      <alignment horizontal="center" vertical="center" textRotation="90"/>
    </xf>
    <xf numFmtId="0" fontId="11" fillId="4" borderId="10" xfId="0" applyFont="1" applyFill="1" applyBorder="1" applyAlignment="1">
      <alignment horizontal="center" vertical="center" textRotation="90"/>
    </xf>
    <xf numFmtId="0" fontId="7" fillId="4" borderId="7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7" fillId="4" borderId="9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left" vertical="center" wrapText="1"/>
    </xf>
    <xf numFmtId="0" fontId="7" fillId="4" borderId="9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17" fontId="7" fillId="3" borderId="0" xfId="0" applyNumberFormat="1" applyFont="1" applyFill="1" applyAlignment="1">
      <alignment horizontal="center" vertical="center" wrapText="1"/>
    </xf>
    <xf numFmtId="3" fontId="20" fillId="3" borderId="25" xfId="0" applyNumberFormat="1" applyFont="1" applyFill="1" applyBorder="1" applyAlignment="1">
      <alignment horizontal="center" vertical="center" readingOrder="1"/>
    </xf>
    <xf numFmtId="3" fontId="20" fillId="3" borderId="26" xfId="0" applyNumberFormat="1" applyFont="1" applyFill="1" applyBorder="1" applyAlignment="1">
      <alignment horizontal="center" vertical="center" readingOrder="1"/>
    </xf>
    <xf numFmtId="0" fontId="15" fillId="3" borderId="27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3" borderId="25" xfId="0" applyFont="1" applyFill="1" applyBorder="1" applyAlignment="1">
      <alignment horizontal="center" vertical="center" wrapText="1"/>
    </xf>
    <xf numFmtId="0" fontId="15" fillId="3" borderId="37" xfId="0" applyFont="1" applyFill="1" applyBorder="1" applyAlignment="1">
      <alignment horizontal="center" vertical="center" wrapText="1"/>
    </xf>
    <xf numFmtId="0" fontId="9" fillId="3" borderId="42" xfId="0" applyFont="1" applyFill="1" applyBorder="1" applyAlignment="1">
      <alignment horizontal="center"/>
    </xf>
    <xf numFmtId="0" fontId="9" fillId="3" borderId="43" xfId="0" applyFont="1" applyFill="1" applyBorder="1" applyAlignment="1">
      <alignment horizontal="center"/>
    </xf>
    <xf numFmtId="0" fontId="9" fillId="3" borderId="52" xfId="0" applyFont="1" applyFill="1" applyBorder="1" applyAlignment="1">
      <alignment horizontal="center"/>
    </xf>
    <xf numFmtId="0" fontId="9" fillId="3" borderId="53" xfId="0" applyFont="1" applyFill="1" applyBorder="1" applyAlignment="1">
      <alignment horizontal="center"/>
    </xf>
    <xf numFmtId="2" fontId="20" fillId="3" borderId="25" xfId="0" applyNumberFormat="1" applyFont="1" applyFill="1" applyBorder="1" applyAlignment="1">
      <alignment horizontal="center" vertical="center" readingOrder="1"/>
    </xf>
    <xf numFmtId="2" fontId="20" fillId="3" borderId="26" xfId="0" applyNumberFormat="1" applyFont="1" applyFill="1" applyBorder="1" applyAlignment="1">
      <alignment horizontal="center" vertical="center" readingOrder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left" vertical="top" wrapText="1"/>
    </xf>
    <xf numFmtId="0" fontId="16" fillId="0" borderId="0" xfId="0" applyFont="1" applyAlignment="1">
      <alignment horizontal="left" wrapText="1"/>
    </xf>
    <xf numFmtId="0" fontId="12" fillId="0" borderId="24" xfId="0" applyFont="1" applyBorder="1" applyAlignment="1">
      <alignment horizontal="left"/>
    </xf>
    <xf numFmtId="0" fontId="12" fillId="0" borderId="64" xfId="0" applyFont="1" applyBorder="1" applyAlignment="1">
      <alignment horizontal="left" wrapText="1"/>
    </xf>
  </cellXfs>
  <cellStyles count="5">
    <cellStyle name="Hipervínculo" xfId="2" builtinId="8"/>
    <cellStyle name="Normal" xfId="0" builtinId="0"/>
    <cellStyle name="Normal 2 2" xfId="4" xr:uid="{B4643F9C-0AE7-46C0-9871-12155AB814C3}"/>
    <cellStyle name="Normal 2 6" xfId="3" xr:uid="{CE947229-4D2E-42EC-811E-BFC186A248E3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tyles" Target="styles.xml"/><Relationship Id="rId55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9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Relationship Id="rId4" Type="http://schemas.openxmlformats.org/officeDocument/2006/relationships/chartUserShapes" Target="../drawings/drawing10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11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Relationship Id="rId4" Type="http://schemas.openxmlformats.org/officeDocument/2006/relationships/chartUserShapes" Target="../drawings/drawing12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Relationship Id="rId4" Type="http://schemas.openxmlformats.org/officeDocument/2006/relationships/chartUserShapes" Target="../drawings/drawing13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14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Relationship Id="rId4" Type="http://schemas.openxmlformats.org/officeDocument/2006/relationships/chartUserShapes" Target="../drawings/drawing15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17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18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19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chartUserShapes" Target="../drawings/drawing20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chartUserShapes" Target="../drawings/drawing21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chartUserShapes" Target="../drawings/drawing2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Relationship Id="rId4" Type="http://schemas.openxmlformats.org/officeDocument/2006/relationships/chartUserShapes" Target="../drawings/drawing2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Relationship Id="rId4" Type="http://schemas.openxmlformats.org/officeDocument/2006/relationships/chartUserShapes" Target="../drawings/drawing2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Relationship Id="rId4" Type="http://schemas.openxmlformats.org/officeDocument/2006/relationships/chartUserShapes" Target="../drawings/drawing2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Relationship Id="rId4" Type="http://schemas.openxmlformats.org/officeDocument/2006/relationships/chartUserShapes" Target="../drawings/drawing29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Relationship Id="rId4" Type="http://schemas.openxmlformats.org/officeDocument/2006/relationships/chartUserShapes" Target="../drawings/drawing30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Relationship Id="rId4" Type="http://schemas.openxmlformats.org/officeDocument/2006/relationships/chartUserShapes" Target="../drawings/drawing31.xml"/></Relationships>
</file>

<file path=xl/charts/_rels/chart21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4.xml"/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6.xml"/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38.xml"/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0.xml"/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6.xml"/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8.xml"/><Relationship Id="rId1" Type="http://schemas.openxmlformats.org/officeDocument/2006/relationships/themeOverride" Target="../theme/themeOverride26.xml"/></Relationships>
</file>

<file path=xl/charts/_rels/chart2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7.xml"/><Relationship Id="rId2" Type="http://schemas.microsoft.com/office/2011/relationships/chartColorStyle" Target="colors21.xml"/><Relationship Id="rId1" Type="http://schemas.microsoft.com/office/2011/relationships/chartStyle" Target="style21.xml"/><Relationship Id="rId4" Type="http://schemas.openxmlformats.org/officeDocument/2006/relationships/chartUserShapes" Target="../drawings/drawing51.xml"/></Relationships>
</file>

<file path=xl/charts/_rels/chart2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8.xml"/><Relationship Id="rId2" Type="http://schemas.microsoft.com/office/2011/relationships/chartColorStyle" Target="colors22.xml"/><Relationship Id="rId1" Type="http://schemas.microsoft.com/office/2011/relationships/chartStyle" Target="style22.xml"/><Relationship Id="rId4" Type="http://schemas.openxmlformats.org/officeDocument/2006/relationships/chartUserShapes" Target="../drawings/drawing52.xml"/></Relationships>
</file>

<file path=xl/charts/_rels/chart2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9.xml"/><Relationship Id="rId2" Type="http://schemas.microsoft.com/office/2011/relationships/chartColorStyle" Target="colors23.xml"/><Relationship Id="rId1" Type="http://schemas.microsoft.com/office/2011/relationships/chartStyle" Target="style23.xml"/><Relationship Id="rId4" Type="http://schemas.openxmlformats.org/officeDocument/2006/relationships/chartUserShapes" Target="../drawings/drawing53.xml"/></Relationships>
</file>

<file path=xl/charts/_rels/chart3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0.xml"/><Relationship Id="rId2" Type="http://schemas.microsoft.com/office/2011/relationships/chartColorStyle" Target="colors24.xml"/><Relationship Id="rId1" Type="http://schemas.microsoft.com/office/2011/relationships/chartStyle" Target="style24.xml"/><Relationship Id="rId4" Type="http://schemas.openxmlformats.org/officeDocument/2006/relationships/chartUserShapes" Target="../drawings/drawing54.xml"/></Relationships>
</file>

<file path=xl/charts/_rels/chart3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1.xml"/><Relationship Id="rId2" Type="http://schemas.microsoft.com/office/2011/relationships/chartColorStyle" Target="colors25.xml"/><Relationship Id="rId1" Type="http://schemas.microsoft.com/office/2011/relationships/chartStyle" Target="style25.xml"/><Relationship Id="rId4" Type="http://schemas.openxmlformats.org/officeDocument/2006/relationships/chartUserShapes" Target="../drawings/drawing55.xml"/></Relationships>
</file>

<file path=xl/charts/_rels/chart3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2.xml"/><Relationship Id="rId2" Type="http://schemas.microsoft.com/office/2011/relationships/chartColorStyle" Target="colors26.xml"/><Relationship Id="rId1" Type="http://schemas.microsoft.com/office/2011/relationships/chartStyle" Target="style26.xml"/><Relationship Id="rId4" Type="http://schemas.openxmlformats.org/officeDocument/2006/relationships/chartUserShapes" Target="../drawings/drawing56.xml"/></Relationships>
</file>

<file path=xl/charts/_rels/chart3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3.xml"/><Relationship Id="rId2" Type="http://schemas.microsoft.com/office/2011/relationships/chartColorStyle" Target="colors27.xml"/><Relationship Id="rId1" Type="http://schemas.microsoft.com/office/2011/relationships/chartStyle" Target="style27.xml"/><Relationship Id="rId4" Type="http://schemas.openxmlformats.org/officeDocument/2006/relationships/chartUserShapes" Target="../drawings/drawing57.xml"/></Relationships>
</file>

<file path=xl/charts/_rels/chart3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4.xml"/><Relationship Id="rId2" Type="http://schemas.microsoft.com/office/2011/relationships/chartColorStyle" Target="colors28.xml"/><Relationship Id="rId1" Type="http://schemas.microsoft.com/office/2011/relationships/chartStyle" Target="style28.xml"/><Relationship Id="rId4" Type="http://schemas.openxmlformats.org/officeDocument/2006/relationships/chartUserShapes" Target="../drawings/drawing58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5.xml"/><Relationship Id="rId2" Type="http://schemas.microsoft.com/office/2011/relationships/chartColorStyle" Target="colors29.xml"/><Relationship Id="rId1" Type="http://schemas.microsoft.com/office/2011/relationships/chartStyle" Target="style29.xml"/><Relationship Id="rId4" Type="http://schemas.openxmlformats.org/officeDocument/2006/relationships/chartUserShapes" Target="../drawings/drawing59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6.xml"/><Relationship Id="rId2" Type="http://schemas.microsoft.com/office/2011/relationships/chartColorStyle" Target="colors30.xml"/><Relationship Id="rId1" Type="http://schemas.microsoft.com/office/2011/relationships/chartStyle" Target="style30.xml"/><Relationship Id="rId4" Type="http://schemas.openxmlformats.org/officeDocument/2006/relationships/chartUserShapes" Target="../drawings/drawing60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7.xml"/><Relationship Id="rId2" Type="http://schemas.microsoft.com/office/2011/relationships/chartColorStyle" Target="colors31.xml"/><Relationship Id="rId1" Type="http://schemas.microsoft.com/office/2011/relationships/chartStyle" Target="style31.xml"/><Relationship Id="rId4" Type="http://schemas.openxmlformats.org/officeDocument/2006/relationships/chartUserShapes" Target="../drawings/drawing61.xml"/></Relationships>
</file>

<file path=xl/charts/_rels/chart3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8.xml"/><Relationship Id="rId2" Type="http://schemas.microsoft.com/office/2011/relationships/chartColorStyle" Target="colors32.xml"/><Relationship Id="rId1" Type="http://schemas.microsoft.com/office/2011/relationships/chartStyle" Target="style32.xml"/><Relationship Id="rId4" Type="http://schemas.openxmlformats.org/officeDocument/2006/relationships/chartUserShapes" Target="../drawings/drawing62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9.xml"/><Relationship Id="rId2" Type="http://schemas.microsoft.com/office/2011/relationships/chartColorStyle" Target="colors33.xml"/><Relationship Id="rId1" Type="http://schemas.microsoft.com/office/2011/relationships/chartStyle" Target="style33.xml"/><Relationship Id="rId4" Type="http://schemas.openxmlformats.org/officeDocument/2006/relationships/chartUserShapes" Target="../drawings/drawing64.xml"/></Relationships>
</file>

<file path=xl/charts/_rels/chart4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0.xml"/><Relationship Id="rId2" Type="http://schemas.microsoft.com/office/2011/relationships/chartColorStyle" Target="colors34.xml"/><Relationship Id="rId1" Type="http://schemas.microsoft.com/office/2011/relationships/chartStyle" Target="style34.xml"/><Relationship Id="rId4" Type="http://schemas.openxmlformats.org/officeDocument/2006/relationships/chartUserShapes" Target="../drawings/drawing65.xml"/></Relationships>
</file>

<file path=xl/charts/_rels/chart4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1.xml"/><Relationship Id="rId2" Type="http://schemas.microsoft.com/office/2011/relationships/chartColorStyle" Target="colors35.xml"/><Relationship Id="rId1" Type="http://schemas.microsoft.com/office/2011/relationships/chartStyle" Target="style35.xml"/><Relationship Id="rId4" Type="http://schemas.openxmlformats.org/officeDocument/2006/relationships/chartUserShapes" Target="../drawings/drawing66.xml"/></Relationships>
</file>

<file path=xl/charts/_rels/chart4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2.xml"/><Relationship Id="rId2" Type="http://schemas.microsoft.com/office/2011/relationships/chartColorStyle" Target="colors36.xml"/><Relationship Id="rId1" Type="http://schemas.microsoft.com/office/2011/relationships/chartStyle" Target="style36.xml"/><Relationship Id="rId4" Type="http://schemas.openxmlformats.org/officeDocument/2006/relationships/chartUserShapes" Target="../drawings/drawing67.xml"/></Relationships>
</file>

<file path=xl/charts/_rels/chart4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3.xml"/><Relationship Id="rId2" Type="http://schemas.microsoft.com/office/2011/relationships/chartColorStyle" Target="colors37.xml"/><Relationship Id="rId1" Type="http://schemas.microsoft.com/office/2011/relationships/chartStyle" Target="style37.xml"/><Relationship Id="rId4" Type="http://schemas.openxmlformats.org/officeDocument/2006/relationships/chartUserShapes" Target="../drawings/drawing73.xml"/></Relationships>
</file>

<file path=xl/charts/_rels/chart4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4.xml"/><Relationship Id="rId2" Type="http://schemas.microsoft.com/office/2011/relationships/chartColorStyle" Target="colors38.xml"/><Relationship Id="rId1" Type="http://schemas.microsoft.com/office/2011/relationships/chartStyle" Target="style38.xml"/><Relationship Id="rId4" Type="http://schemas.openxmlformats.org/officeDocument/2006/relationships/chartUserShapes" Target="../drawings/drawing74.xml"/></Relationships>
</file>

<file path=xl/charts/_rels/chart4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5.xml"/><Relationship Id="rId2" Type="http://schemas.microsoft.com/office/2011/relationships/chartColorStyle" Target="colors39.xml"/><Relationship Id="rId1" Type="http://schemas.microsoft.com/office/2011/relationships/chartStyle" Target="style39.xml"/><Relationship Id="rId4" Type="http://schemas.openxmlformats.org/officeDocument/2006/relationships/chartUserShapes" Target="../drawings/drawing75.xml"/></Relationships>
</file>

<file path=xl/charts/_rels/chart4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6.xml"/><Relationship Id="rId2" Type="http://schemas.microsoft.com/office/2011/relationships/chartColorStyle" Target="colors40.xml"/><Relationship Id="rId1" Type="http://schemas.microsoft.com/office/2011/relationships/chartStyle" Target="style40.xml"/><Relationship Id="rId4" Type="http://schemas.openxmlformats.org/officeDocument/2006/relationships/chartUserShapes" Target="../drawings/drawing76.xml"/></Relationships>
</file>

<file path=xl/charts/_rels/chart4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7.xml"/><Relationship Id="rId2" Type="http://schemas.microsoft.com/office/2011/relationships/chartColorStyle" Target="colors41.xml"/><Relationship Id="rId1" Type="http://schemas.microsoft.com/office/2011/relationships/chartStyle" Target="style41.xml"/><Relationship Id="rId4" Type="http://schemas.openxmlformats.org/officeDocument/2006/relationships/chartUserShapes" Target="../drawings/drawing77.xml"/></Relationships>
</file>

<file path=xl/charts/_rels/chart4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8.xml"/><Relationship Id="rId2" Type="http://schemas.microsoft.com/office/2011/relationships/chartColorStyle" Target="colors42.xml"/><Relationship Id="rId1" Type="http://schemas.microsoft.com/office/2011/relationships/chartStyle" Target="style42.xml"/><Relationship Id="rId4" Type="http://schemas.openxmlformats.org/officeDocument/2006/relationships/chartUserShapes" Target="../drawings/drawing78.xml"/></Relationships>
</file>

<file path=xl/charts/_rels/chart4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9.xml"/><Relationship Id="rId2" Type="http://schemas.microsoft.com/office/2011/relationships/chartColorStyle" Target="colors43.xml"/><Relationship Id="rId1" Type="http://schemas.microsoft.com/office/2011/relationships/chartStyle" Target="style43.xml"/><Relationship Id="rId4" Type="http://schemas.openxmlformats.org/officeDocument/2006/relationships/chartUserShapes" Target="../drawings/drawing79.xml"/></Relationships>
</file>

<file path=xl/charts/_rels/chart5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0.xml"/><Relationship Id="rId2" Type="http://schemas.microsoft.com/office/2011/relationships/chartColorStyle" Target="colors44.xml"/><Relationship Id="rId1" Type="http://schemas.microsoft.com/office/2011/relationships/chartStyle" Target="style44.xml"/><Relationship Id="rId4" Type="http://schemas.openxmlformats.org/officeDocument/2006/relationships/chartUserShapes" Target="../drawings/drawing80.xml"/></Relationships>
</file>

<file path=xl/charts/_rels/chart5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1.xml"/><Relationship Id="rId2" Type="http://schemas.microsoft.com/office/2011/relationships/chartColorStyle" Target="colors45.xml"/><Relationship Id="rId1" Type="http://schemas.microsoft.com/office/2011/relationships/chartStyle" Target="style45.xml"/><Relationship Id="rId4" Type="http://schemas.openxmlformats.org/officeDocument/2006/relationships/chartUserShapes" Target="../drawings/drawing81.xml"/></Relationships>
</file>

<file path=xl/charts/_rels/chart5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2.xml"/><Relationship Id="rId2" Type="http://schemas.microsoft.com/office/2011/relationships/chartColorStyle" Target="colors46.xml"/><Relationship Id="rId1" Type="http://schemas.microsoft.com/office/2011/relationships/chartStyle" Target="style46.xml"/><Relationship Id="rId4" Type="http://schemas.openxmlformats.org/officeDocument/2006/relationships/chartUserShapes" Target="../drawings/drawing82.xml"/></Relationships>
</file>

<file path=xl/charts/_rels/chart5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3.xml"/><Relationship Id="rId2" Type="http://schemas.microsoft.com/office/2011/relationships/chartColorStyle" Target="colors47.xml"/><Relationship Id="rId1" Type="http://schemas.microsoft.com/office/2011/relationships/chartStyle" Target="style47.xml"/><Relationship Id="rId4" Type="http://schemas.openxmlformats.org/officeDocument/2006/relationships/chartUserShapes" Target="../drawings/drawing83.xml"/></Relationships>
</file>

<file path=xl/charts/_rels/chart5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4.xml"/><Relationship Id="rId2" Type="http://schemas.microsoft.com/office/2011/relationships/chartColorStyle" Target="colors48.xml"/><Relationship Id="rId1" Type="http://schemas.microsoft.com/office/2011/relationships/chartStyle" Target="style48.xml"/><Relationship Id="rId4" Type="http://schemas.openxmlformats.org/officeDocument/2006/relationships/chartUserShapes" Target="../drawings/drawing84.xml"/></Relationships>
</file>

<file path=xl/charts/_rels/chart5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5.xml"/><Relationship Id="rId2" Type="http://schemas.microsoft.com/office/2011/relationships/chartColorStyle" Target="colors49.xml"/><Relationship Id="rId1" Type="http://schemas.microsoft.com/office/2011/relationships/chartStyle" Target="style49.xml"/><Relationship Id="rId4" Type="http://schemas.openxmlformats.org/officeDocument/2006/relationships/chartUserShapes" Target="../drawings/drawing85.xml"/></Relationships>
</file>

<file path=xl/charts/_rels/chart5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6.xml"/><Relationship Id="rId2" Type="http://schemas.microsoft.com/office/2011/relationships/chartColorStyle" Target="colors50.xml"/><Relationship Id="rId1" Type="http://schemas.microsoft.com/office/2011/relationships/chartStyle" Target="style50.xml"/><Relationship Id="rId4" Type="http://schemas.openxmlformats.org/officeDocument/2006/relationships/chartUserShapes" Target="../drawings/drawing87.xml"/></Relationships>
</file>

<file path=xl/charts/_rels/chart5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7.xml"/><Relationship Id="rId2" Type="http://schemas.microsoft.com/office/2011/relationships/chartColorStyle" Target="colors51.xml"/><Relationship Id="rId1" Type="http://schemas.microsoft.com/office/2011/relationships/chartStyle" Target="style51.xml"/><Relationship Id="rId4" Type="http://schemas.openxmlformats.org/officeDocument/2006/relationships/chartUserShapes" Target="../drawings/drawing88.xml"/></Relationships>
</file>

<file path=xl/charts/_rels/chart5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8.xml"/><Relationship Id="rId2" Type="http://schemas.microsoft.com/office/2011/relationships/chartColorStyle" Target="colors52.xml"/><Relationship Id="rId1" Type="http://schemas.microsoft.com/office/2011/relationships/chartStyle" Target="style52.xml"/><Relationship Id="rId4" Type="http://schemas.openxmlformats.org/officeDocument/2006/relationships/chartUserShapes" Target="../drawings/drawing89.xml"/></Relationships>
</file>

<file path=xl/charts/_rels/chart5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9.xml"/><Relationship Id="rId2" Type="http://schemas.microsoft.com/office/2011/relationships/chartColorStyle" Target="colors53.xml"/><Relationship Id="rId1" Type="http://schemas.microsoft.com/office/2011/relationships/chartStyle" Target="style53.xml"/><Relationship Id="rId4" Type="http://schemas.openxmlformats.org/officeDocument/2006/relationships/chartUserShapes" Target="../drawings/drawing90.xml"/></Relationships>
</file>

<file path=xl/charts/_rels/chart6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0.xml"/><Relationship Id="rId2" Type="http://schemas.microsoft.com/office/2011/relationships/chartColorStyle" Target="colors54.xml"/><Relationship Id="rId1" Type="http://schemas.microsoft.com/office/2011/relationships/chartStyle" Target="style54.xml"/><Relationship Id="rId4" Type="http://schemas.openxmlformats.org/officeDocument/2006/relationships/chartUserShapes" Target="../drawings/drawing93.xml"/></Relationships>
</file>

<file path=xl/charts/_rels/chart6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1.xml"/><Relationship Id="rId2" Type="http://schemas.microsoft.com/office/2011/relationships/chartColorStyle" Target="colors55.xml"/><Relationship Id="rId1" Type="http://schemas.microsoft.com/office/2011/relationships/chartStyle" Target="style55.xml"/><Relationship Id="rId4" Type="http://schemas.openxmlformats.org/officeDocument/2006/relationships/chartUserShapes" Target="../drawings/drawing94.xml"/></Relationships>
</file>

<file path=xl/charts/_rels/chart6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2.xml"/><Relationship Id="rId2" Type="http://schemas.microsoft.com/office/2011/relationships/chartColorStyle" Target="colors56.xml"/><Relationship Id="rId1" Type="http://schemas.microsoft.com/office/2011/relationships/chartStyle" Target="style56.xml"/><Relationship Id="rId4" Type="http://schemas.openxmlformats.org/officeDocument/2006/relationships/chartUserShapes" Target="../drawings/drawing95.xml"/></Relationships>
</file>

<file path=xl/charts/_rels/chart6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3.xml"/><Relationship Id="rId2" Type="http://schemas.microsoft.com/office/2011/relationships/chartColorStyle" Target="colors57.xml"/><Relationship Id="rId1" Type="http://schemas.microsoft.com/office/2011/relationships/chartStyle" Target="style57.xml"/><Relationship Id="rId4" Type="http://schemas.openxmlformats.org/officeDocument/2006/relationships/chartUserShapes" Target="../drawings/drawing96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3.xml"/></Relationships>
</file>

<file path=xl/charts/_rels/chart6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4.xml"/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05.xml"/><Relationship Id="rId1" Type="http://schemas.openxmlformats.org/officeDocument/2006/relationships/themeOverride" Target="../theme/themeOverride64.xml"/></Relationships>
</file>

<file path=xl/charts/_rels/chart6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7.xml"/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08.xml"/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0.xml"/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7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1.xml"/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7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3.xml"/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7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4.xml"/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7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6.xml"/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7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17.xml"/><Relationship Id="rId1" Type="http://schemas.openxmlformats.org/officeDocument/2006/relationships/themeOverride" Target="../theme/themeOverride65.xml"/></Relationships>
</file>

<file path=xl/charts/_rels/chart7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8.xml"/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0.xml"/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7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1.xml"/><Relationship Id="rId1" Type="http://schemas.openxmlformats.org/officeDocument/2006/relationships/themeOverride" Target="../theme/themeOverride66.xml"/></Relationships>
</file>

<file path=xl/charts/_rels/chart7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2.xml"/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4.xml"/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80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25.xml"/><Relationship Id="rId1" Type="http://schemas.openxmlformats.org/officeDocument/2006/relationships/themeOverride" Target="../theme/themeOverride67.xml"/></Relationships>
</file>

<file path=xl/charts/_rels/chart8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6.xml"/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8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8.xml"/><Relationship Id="rId2" Type="http://schemas.microsoft.com/office/2011/relationships/chartColorStyle" Target="colors71.xml"/><Relationship Id="rId1" Type="http://schemas.microsoft.com/office/2011/relationships/chartStyle" Target="style71.xml"/><Relationship Id="rId4" Type="http://schemas.openxmlformats.org/officeDocument/2006/relationships/chartUserShapes" Target="../drawings/drawing128.xml"/></Relationships>
</file>

<file path=xl/charts/_rels/chart8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9.xml"/><Relationship Id="rId2" Type="http://schemas.microsoft.com/office/2011/relationships/chartColorStyle" Target="colors72.xml"/><Relationship Id="rId1" Type="http://schemas.microsoft.com/office/2011/relationships/chartStyle" Target="style72.xml"/><Relationship Id="rId4" Type="http://schemas.openxmlformats.org/officeDocument/2006/relationships/chartUserShapes" Target="../drawings/drawing130.xml"/></Relationships>
</file>

<file path=xl/charts/_rels/chart8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0.xml"/><Relationship Id="rId2" Type="http://schemas.microsoft.com/office/2011/relationships/chartColorStyle" Target="colors73.xml"/><Relationship Id="rId1" Type="http://schemas.microsoft.com/office/2011/relationships/chartStyle" Target="style73.xml"/><Relationship Id="rId4" Type="http://schemas.openxmlformats.org/officeDocument/2006/relationships/chartUserShapes" Target="../drawings/drawing1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776-4B1E-BC7C-07A363950D59}"/>
              </c:ext>
            </c:extLst>
          </c:dPt>
          <c:val>
            <c:numRef>
              <c:f>'Viajeros entr evol mensu TF'!$G$9:$G$21</c:f>
              <c:numCache>
                <c:formatCode>#,##0</c:formatCode>
                <c:ptCount val="13"/>
                <c:pt idx="0">
                  <c:v>23403</c:v>
                </c:pt>
                <c:pt idx="1">
                  <c:v>22625</c:v>
                </c:pt>
                <c:pt idx="2">
                  <c:v>22971</c:v>
                </c:pt>
                <c:pt idx="3">
                  <c:v>19029</c:v>
                </c:pt>
                <c:pt idx="4">
                  <c:v>17439</c:v>
                </c:pt>
                <c:pt idx="5">
                  <c:v>19479</c:v>
                </c:pt>
                <c:pt idx="6">
                  <c:v>21632</c:v>
                </c:pt>
                <c:pt idx="7">
                  <c:v>15201</c:v>
                </c:pt>
                <c:pt idx="8">
                  <c:v>19577</c:v>
                </c:pt>
                <c:pt idx="9">
                  <c:v>19337</c:v>
                </c:pt>
                <c:pt idx="10">
                  <c:v>25085</c:v>
                </c:pt>
                <c:pt idx="11">
                  <c:v>24629</c:v>
                </c:pt>
                <c:pt idx="12">
                  <c:v>250407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776-4B1E-BC7C-07A363950D59}"/>
            </c:ext>
          </c:extLst>
        </c:ser>
        <c:ser>
          <c:idx val="0"/>
          <c:order val="2"/>
          <c:tx>
            <c:strRef>
              <c:f>'Viajeros entr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776-4B1E-BC7C-07A363950D5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TF'!$I$9:$I$21</c:f>
              <c:numCache>
                <c:formatCode>#,##0</c:formatCode>
                <c:ptCount val="13"/>
                <c:pt idx="0">
                  <c:v>24602</c:v>
                </c:pt>
                <c:pt idx="1">
                  <c:v>24926</c:v>
                </c:pt>
                <c:pt idx="2">
                  <c:v>26883</c:v>
                </c:pt>
                <c:pt idx="3">
                  <c:v>20857</c:v>
                </c:pt>
                <c:pt idx="4">
                  <c:v>22620</c:v>
                </c:pt>
                <c:pt idx="5">
                  <c:v>20873</c:v>
                </c:pt>
                <c:pt idx="6">
                  <c:v>23873</c:v>
                </c:pt>
                <c:pt idx="7">
                  <c:v>16969</c:v>
                </c:pt>
                <c:pt idx="8">
                  <c:v>21810</c:v>
                </c:pt>
                <c:pt idx="9">
                  <c:v>24469</c:v>
                </c:pt>
                <c:pt idx="10">
                  <c:v>28486</c:v>
                </c:pt>
                <c:pt idx="11">
                  <c:v>26233</c:v>
                </c:pt>
                <c:pt idx="12">
                  <c:v>282601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776-4B1E-BC7C-07A363950D59}"/>
            </c:ext>
          </c:extLst>
        </c:ser>
        <c:ser>
          <c:idx val="1"/>
          <c:order val="3"/>
          <c:tx>
            <c:strRef>
              <c:f>'Viajeros entr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776-4B1E-BC7C-07A363950D5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776-4B1E-BC7C-07A363950D59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TF'!$K$9:$K$21</c:f>
              <c:numCache>
                <c:formatCode>#,##0</c:formatCode>
                <c:ptCount val="13"/>
                <c:pt idx="0">
                  <c:v>28418</c:v>
                </c:pt>
                <c:pt idx="1">
                  <c:v>27857</c:v>
                </c:pt>
                <c:pt idx="2">
                  <c:v>27912</c:v>
                </c:pt>
                <c:pt idx="3">
                  <c:v>23055</c:v>
                </c:pt>
                <c:pt idx="4">
                  <c:v>20399</c:v>
                </c:pt>
                <c:pt idx="5">
                  <c:v>19069</c:v>
                </c:pt>
                <c:pt idx="6">
                  <c:v>21827</c:v>
                </c:pt>
                <c:pt idx="12">
                  <c:v>168537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776-4B1E-BC7C-07A363950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776-4B1E-BC7C-07A363950D5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14146</c:v>
                      </c:pt>
                      <c:pt idx="1">
                        <c:v>17059</c:v>
                      </c:pt>
                      <c:pt idx="2">
                        <c:v>20054</c:v>
                      </c:pt>
                      <c:pt idx="3">
                        <c:v>17340</c:v>
                      </c:pt>
                      <c:pt idx="4">
                        <c:v>18214</c:v>
                      </c:pt>
                      <c:pt idx="5">
                        <c:v>17608</c:v>
                      </c:pt>
                      <c:pt idx="6">
                        <c:v>18083</c:v>
                      </c:pt>
                      <c:pt idx="7">
                        <c:v>15520</c:v>
                      </c:pt>
                      <c:pt idx="8">
                        <c:v>19959</c:v>
                      </c:pt>
                      <c:pt idx="9">
                        <c:v>21932</c:v>
                      </c:pt>
                      <c:pt idx="10">
                        <c:v>25251</c:v>
                      </c:pt>
                      <c:pt idx="11">
                        <c:v>23965</c:v>
                      </c:pt>
                      <c:pt idx="12">
                        <c:v>229131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776-4B1E-BC7C-07A363950D5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776-4B1E-BC7C-07A363950D5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776-4B1E-BC7C-07A363950D5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776-4B1E-BC7C-07A363950D5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776-4B1E-BC7C-07A363950D5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776-4B1E-BC7C-07A363950D5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776-4B1E-BC7C-07A363950D5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776-4B1E-BC7C-07A363950D5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776-4B1E-BC7C-07A363950D5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776-4B1E-BC7C-07A363950D5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776-4B1E-BC7C-07A363950D5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776-4B1E-BC7C-07A363950D5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776-4B1E-BC7C-07A363950D5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776-4B1E-BC7C-07A363950D59}"/>
              </c:ext>
            </c:extLst>
          </c:dPt>
          <c:cat>
            <c:strRef>
              <c:f>'Viajeros entr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TF'!$L$9:$L$21</c:f>
              <c:numCache>
                <c:formatCode>0.0%</c:formatCode>
                <c:ptCount val="13"/>
                <c:pt idx="0">
                  <c:v>0.15510934070400784</c:v>
                </c:pt>
                <c:pt idx="1">
                  <c:v>0.1175880606595523</c:v>
                </c:pt>
                <c:pt idx="2">
                  <c:v>3.8276978015846508E-2</c:v>
                </c:pt>
                <c:pt idx="3">
                  <c:v>0.1053842834539962</c:v>
                </c:pt>
                <c:pt idx="4">
                  <c:v>-9.818744473916885E-2</c:v>
                </c:pt>
                <c:pt idx="5">
                  <c:v>-8.6427442150146083E-2</c:v>
                </c:pt>
                <c:pt idx="6">
                  <c:v>-8.570351443052826E-2</c:v>
                </c:pt>
                <c:pt idx="12">
                  <c:v>2.3707132184117574E-2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776-4B1E-BC7C-07A363950D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E9D-4F73-BF0F-A4E8D4FE1F5C}"/>
              </c:ext>
            </c:extLst>
          </c:dPt>
          <c:val>
            <c:numRef>
              <c:f>'Viajeros entr evol mensu TF'!$G$31:$G$43</c:f>
              <c:numCache>
                <c:formatCode>#,##0</c:formatCode>
                <c:ptCount val="13"/>
                <c:pt idx="0">
                  <c:v>11322</c:v>
                </c:pt>
                <c:pt idx="1">
                  <c:v>11880</c:v>
                </c:pt>
                <c:pt idx="2">
                  <c:v>12803</c:v>
                </c:pt>
                <c:pt idx="3">
                  <c:v>11832</c:v>
                </c:pt>
                <c:pt idx="4">
                  <c:v>12647</c:v>
                </c:pt>
                <c:pt idx="5">
                  <c:v>14875</c:v>
                </c:pt>
                <c:pt idx="6">
                  <c:v>16297</c:v>
                </c:pt>
                <c:pt idx="7">
                  <c:v>9303</c:v>
                </c:pt>
                <c:pt idx="8">
                  <c:v>14314</c:v>
                </c:pt>
                <c:pt idx="9">
                  <c:v>12735</c:v>
                </c:pt>
                <c:pt idx="10">
                  <c:v>14871</c:v>
                </c:pt>
                <c:pt idx="11">
                  <c:v>13109</c:v>
                </c:pt>
                <c:pt idx="12">
                  <c:v>155988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9D-4F73-BF0F-A4E8D4FE1F5C}"/>
            </c:ext>
          </c:extLst>
        </c:ser>
        <c:ser>
          <c:idx val="0"/>
          <c:order val="2"/>
          <c:tx>
            <c:strRef>
              <c:f>'Viajeros entr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E9D-4F73-BF0F-A4E8D4FE1F5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TF'!$I$31:$I$43</c:f>
              <c:numCache>
                <c:formatCode>#,##0</c:formatCode>
                <c:ptCount val="13"/>
                <c:pt idx="0">
                  <c:v>11916</c:v>
                </c:pt>
                <c:pt idx="1">
                  <c:v>13464</c:v>
                </c:pt>
                <c:pt idx="2">
                  <c:v>15642</c:v>
                </c:pt>
                <c:pt idx="3">
                  <c:v>12892</c:v>
                </c:pt>
                <c:pt idx="4">
                  <c:v>17139</c:v>
                </c:pt>
                <c:pt idx="5">
                  <c:v>16672</c:v>
                </c:pt>
                <c:pt idx="6">
                  <c:v>17909</c:v>
                </c:pt>
                <c:pt idx="7">
                  <c:v>10879</c:v>
                </c:pt>
                <c:pt idx="8">
                  <c:v>15733</c:v>
                </c:pt>
                <c:pt idx="9">
                  <c:v>16739</c:v>
                </c:pt>
                <c:pt idx="10">
                  <c:v>15953</c:v>
                </c:pt>
                <c:pt idx="11">
                  <c:v>13465</c:v>
                </c:pt>
                <c:pt idx="12">
                  <c:v>178403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E9D-4F73-BF0F-A4E8D4FE1F5C}"/>
            </c:ext>
          </c:extLst>
        </c:ser>
        <c:ser>
          <c:idx val="1"/>
          <c:order val="3"/>
          <c:tx>
            <c:strRef>
              <c:f>'Viajeros entr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E9D-4F73-BF0F-A4E8D4FE1F5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9D-4F73-BF0F-A4E8D4FE1F5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TF'!$K$31:$K$43</c:f>
              <c:numCache>
                <c:formatCode>#,##0</c:formatCode>
                <c:ptCount val="13"/>
                <c:pt idx="0">
                  <c:v>13832</c:v>
                </c:pt>
                <c:pt idx="1">
                  <c:v>14864</c:v>
                </c:pt>
                <c:pt idx="2">
                  <c:v>15932</c:v>
                </c:pt>
                <c:pt idx="3">
                  <c:v>14031</c:v>
                </c:pt>
                <c:pt idx="4">
                  <c:v>15337</c:v>
                </c:pt>
                <c:pt idx="5">
                  <c:v>15216</c:v>
                </c:pt>
                <c:pt idx="6">
                  <c:v>16731</c:v>
                </c:pt>
                <c:pt idx="12">
                  <c:v>105943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E9D-4F73-BF0F-A4E8D4FE1F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E9D-4F73-BF0F-A4E8D4FE1F5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6573</c:v>
                      </c:pt>
                      <c:pt idx="1">
                        <c:v>8995</c:v>
                      </c:pt>
                      <c:pt idx="2">
                        <c:v>11575</c:v>
                      </c:pt>
                      <c:pt idx="3">
                        <c:v>10703</c:v>
                      </c:pt>
                      <c:pt idx="4">
                        <c:v>12721</c:v>
                      </c:pt>
                      <c:pt idx="5">
                        <c:v>12409</c:v>
                      </c:pt>
                      <c:pt idx="6">
                        <c:v>12525</c:v>
                      </c:pt>
                      <c:pt idx="7">
                        <c:v>8882</c:v>
                      </c:pt>
                      <c:pt idx="8">
                        <c:v>12859</c:v>
                      </c:pt>
                      <c:pt idx="9">
                        <c:v>13163</c:v>
                      </c:pt>
                      <c:pt idx="10">
                        <c:v>13787</c:v>
                      </c:pt>
                      <c:pt idx="11">
                        <c:v>10694</c:v>
                      </c:pt>
                      <c:pt idx="12">
                        <c:v>134886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E9D-4F73-BF0F-A4E8D4FE1F5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E9D-4F73-BF0F-A4E8D4FE1F5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E9D-4F73-BF0F-A4E8D4FE1F5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E9D-4F73-BF0F-A4E8D4FE1F5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E9D-4F73-BF0F-A4E8D4FE1F5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E9D-4F73-BF0F-A4E8D4FE1F5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E9D-4F73-BF0F-A4E8D4FE1F5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E9D-4F73-BF0F-A4E8D4FE1F5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E9D-4F73-BF0F-A4E8D4FE1F5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E9D-4F73-BF0F-A4E8D4FE1F5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E9D-4F73-BF0F-A4E8D4FE1F5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E9D-4F73-BF0F-A4E8D4FE1F5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E9D-4F73-BF0F-A4E8D4FE1F5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E9D-4F73-BF0F-A4E8D4FE1F5C}"/>
              </c:ext>
            </c:extLst>
          </c:dPt>
          <c:cat>
            <c:strRef>
              <c:f>'Viajeros entr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TF'!$L$31:$L$43</c:f>
              <c:numCache>
                <c:formatCode>0.0%</c:formatCode>
                <c:ptCount val="13"/>
                <c:pt idx="0">
                  <c:v>0.16079221215172868</c:v>
                </c:pt>
                <c:pt idx="1">
                  <c:v>0.10398098633392761</c:v>
                </c:pt>
                <c:pt idx="2">
                  <c:v>1.8539828666410907E-2</c:v>
                </c:pt>
                <c:pt idx="3">
                  <c:v>8.8349363946633508E-2</c:v>
                </c:pt>
                <c:pt idx="4">
                  <c:v>-0.10514032323939548</c:v>
                </c:pt>
                <c:pt idx="5">
                  <c:v>-8.7332053742802285E-2</c:v>
                </c:pt>
                <c:pt idx="6">
                  <c:v>-6.57769836395109E-2</c:v>
                </c:pt>
                <c:pt idx="12">
                  <c:v>2.9251945396369106E-3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E9D-4F73-BF0F-A4E8D4FE1F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EC0-4F04-ADA2-85FFD1A1CC0B}"/>
              </c:ext>
            </c:extLst>
          </c:dPt>
          <c:val>
            <c:numRef>
              <c:f>'Viajeros entr evol mensu TF'!$G$53:$G$65</c:f>
              <c:numCache>
                <c:formatCode>#,##0</c:formatCode>
                <c:ptCount val="13"/>
                <c:pt idx="0">
                  <c:v>6531</c:v>
                </c:pt>
                <c:pt idx="1">
                  <c:v>6868</c:v>
                </c:pt>
                <c:pt idx="2">
                  <c:v>6861</c:v>
                </c:pt>
                <c:pt idx="3">
                  <c:v>7072</c:v>
                </c:pt>
                <c:pt idx="4">
                  <c:v>6981</c:v>
                </c:pt>
                <c:pt idx="5">
                  <c:v>7542</c:v>
                </c:pt>
                <c:pt idx="6">
                  <c:v>6419</c:v>
                </c:pt>
                <c:pt idx="7">
                  <c:v>3964</c:v>
                </c:pt>
                <c:pt idx="8">
                  <c:v>6205</c:v>
                </c:pt>
                <c:pt idx="9">
                  <c:v>7713</c:v>
                </c:pt>
                <c:pt idx="10">
                  <c:v>8717</c:v>
                </c:pt>
                <c:pt idx="11">
                  <c:v>5927</c:v>
                </c:pt>
                <c:pt idx="12">
                  <c:v>80800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C0-4F04-ADA2-85FFD1A1CC0B}"/>
            </c:ext>
          </c:extLst>
        </c:ser>
        <c:ser>
          <c:idx val="0"/>
          <c:order val="2"/>
          <c:tx>
            <c:strRef>
              <c:f>'Viajeros entr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EC0-4F04-ADA2-85FFD1A1CC0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TF'!$I$53:$I$65</c:f>
              <c:numCache>
                <c:formatCode>#,##0</c:formatCode>
                <c:ptCount val="13"/>
                <c:pt idx="0">
                  <c:v>7025</c:v>
                </c:pt>
                <c:pt idx="1">
                  <c:v>7367</c:v>
                </c:pt>
                <c:pt idx="2">
                  <c:v>7666</c:v>
                </c:pt>
                <c:pt idx="3">
                  <c:v>6138</c:v>
                </c:pt>
                <c:pt idx="4">
                  <c:v>7712</c:v>
                </c:pt>
                <c:pt idx="5">
                  <c:v>7773</c:v>
                </c:pt>
                <c:pt idx="6">
                  <c:v>6727</c:v>
                </c:pt>
                <c:pt idx="7">
                  <c:v>4144</c:v>
                </c:pt>
                <c:pt idx="8">
                  <c:v>7462</c:v>
                </c:pt>
                <c:pt idx="9">
                  <c:v>8287</c:v>
                </c:pt>
                <c:pt idx="10">
                  <c:v>8655</c:v>
                </c:pt>
                <c:pt idx="11">
                  <c:v>5985</c:v>
                </c:pt>
                <c:pt idx="12">
                  <c:v>84941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EC0-4F04-ADA2-85FFD1A1CC0B}"/>
            </c:ext>
          </c:extLst>
        </c:ser>
        <c:ser>
          <c:idx val="1"/>
          <c:order val="3"/>
          <c:tx>
            <c:strRef>
              <c:f>'Viajeros entr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EC0-4F04-ADA2-85FFD1A1CC0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C0-4F04-ADA2-85FFD1A1CC0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TF'!$K$53:$K$65</c:f>
              <c:numCache>
                <c:formatCode>#,##0</c:formatCode>
                <c:ptCount val="13"/>
                <c:pt idx="0">
                  <c:v>7706</c:v>
                </c:pt>
                <c:pt idx="1">
                  <c:v>8028</c:v>
                </c:pt>
                <c:pt idx="2">
                  <c:v>8588</c:v>
                </c:pt>
                <c:pt idx="3">
                  <c:v>6621</c:v>
                </c:pt>
                <c:pt idx="4">
                  <c:v>7342</c:v>
                </c:pt>
                <c:pt idx="5">
                  <c:v>7037</c:v>
                </c:pt>
                <c:pt idx="6">
                  <c:v>5405</c:v>
                </c:pt>
                <c:pt idx="12">
                  <c:v>50727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EC0-4F04-ADA2-85FFD1A1CC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EC0-4F04-ADA2-85FFD1A1CC0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3917</c:v>
                      </c:pt>
                      <c:pt idx="1">
                        <c:v>4988</c:v>
                      </c:pt>
                      <c:pt idx="2">
                        <c:v>6328</c:v>
                      </c:pt>
                      <c:pt idx="3">
                        <c:v>4470</c:v>
                      </c:pt>
                      <c:pt idx="4">
                        <c:v>6157</c:v>
                      </c:pt>
                      <c:pt idx="5">
                        <c:v>5602</c:v>
                      </c:pt>
                      <c:pt idx="6">
                        <c:v>5240</c:v>
                      </c:pt>
                      <c:pt idx="7">
                        <c:v>3658</c:v>
                      </c:pt>
                      <c:pt idx="8">
                        <c:v>6176</c:v>
                      </c:pt>
                      <c:pt idx="9">
                        <c:v>6564</c:v>
                      </c:pt>
                      <c:pt idx="10">
                        <c:v>6965</c:v>
                      </c:pt>
                      <c:pt idx="11">
                        <c:v>4956</c:v>
                      </c:pt>
                      <c:pt idx="12">
                        <c:v>65021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EC0-4F04-ADA2-85FFD1A1CC0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EC0-4F04-ADA2-85FFD1A1CC0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EC0-4F04-ADA2-85FFD1A1CC0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EC0-4F04-ADA2-85FFD1A1CC0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EC0-4F04-ADA2-85FFD1A1CC0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EC0-4F04-ADA2-85FFD1A1CC0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EC0-4F04-ADA2-85FFD1A1CC0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EC0-4F04-ADA2-85FFD1A1CC0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EC0-4F04-ADA2-85FFD1A1CC0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EC0-4F04-ADA2-85FFD1A1CC0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EC0-4F04-ADA2-85FFD1A1CC0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EC0-4F04-ADA2-85FFD1A1CC0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EC0-4F04-ADA2-85FFD1A1CC0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EC0-4F04-ADA2-85FFD1A1CC0B}"/>
              </c:ext>
            </c:extLst>
          </c:dPt>
          <c:cat>
            <c:strRef>
              <c:f>'Viajeros entr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TF'!$L$53:$L$65</c:f>
              <c:numCache>
                <c:formatCode>0.0%</c:formatCode>
                <c:ptCount val="13"/>
                <c:pt idx="0">
                  <c:v>9.6939501779359505E-2</c:v>
                </c:pt>
                <c:pt idx="1">
                  <c:v>8.9724446857608164E-2</c:v>
                </c:pt>
                <c:pt idx="2">
                  <c:v>0.12027132794156015</c:v>
                </c:pt>
                <c:pt idx="3">
                  <c:v>7.8690127077223782E-2</c:v>
                </c:pt>
                <c:pt idx="4">
                  <c:v>-4.7977178423236566E-2</c:v>
                </c:pt>
                <c:pt idx="5">
                  <c:v>-9.4686736137913341E-2</c:v>
                </c:pt>
                <c:pt idx="6">
                  <c:v>-0.19652148060056485</c:v>
                </c:pt>
                <c:pt idx="12">
                  <c:v>6.328360577686043E-3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EC0-4F04-ADA2-85FFD1A1CC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F0A-4A04-9DB3-F004A25C95A0}"/>
              </c:ext>
            </c:extLst>
          </c:dPt>
          <c:val>
            <c:numRef>
              <c:f>'Viajeros entr evol mensu TF'!$G$75:$G$87</c:f>
              <c:numCache>
                <c:formatCode>#,##0</c:formatCode>
                <c:ptCount val="13"/>
                <c:pt idx="0">
                  <c:v>4791</c:v>
                </c:pt>
                <c:pt idx="1">
                  <c:v>5012</c:v>
                </c:pt>
                <c:pt idx="2">
                  <c:v>5942</c:v>
                </c:pt>
                <c:pt idx="3">
                  <c:v>4760</c:v>
                </c:pt>
                <c:pt idx="4">
                  <c:v>5666</c:v>
                </c:pt>
                <c:pt idx="5">
                  <c:v>7333</c:v>
                </c:pt>
                <c:pt idx="6">
                  <c:v>9878</c:v>
                </c:pt>
                <c:pt idx="7">
                  <c:v>5339</c:v>
                </c:pt>
                <c:pt idx="8">
                  <c:v>8109</c:v>
                </c:pt>
                <c:pt idx="9">
                  <c:v>5022</c:v>
                </c:pt>
                <c:pt idx="10">
                  <c:v>6154</c:v>
                </c:pt>
                <c:pt idx="11">
                  <c:v>7182</c:v>
                </c:pt>
                <c:pt idx="12">
                  <c:v>75188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0A-4A04-9DB3-F004A25C95A0}"/>
            </c:ext>
          </c:extLst>
        </c:ser>
        <c:ser>
          <c:idx val="0"/>
          <c:order val="2"/>
          <c:tx>
            <c:strRef>
              <c:f>'Viajeros entr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F0A-4A04-9DB3-F004A25C95A0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TF'!$I$75:$I$87</c:f>
              <c:numCache>
                <c:formatCode>#,##0</c:formatCode>
                <c:ptCount val="13"/>
                <c:pt idx="0">
                  <c:v>4891</c:v>
                </c:pt>
                <c:pt idx="1">
                  <c:v>6097</c:v>
                </c:pt>
                <c:pt idx="2">
                  <c:v>7976</c:v>
                </c:pt>
                <c:pt idx="3">
                  <c:v>6754</c:v>
                </c:pt>
                <c:pt idx="4">
                  <c:v>9427</c:v>
                </c:pt>
                <c:pt idx="5">
                  <c:v>8899</c:v>
                </c:pt>
                <c:pt idx="6">
                  <c:v>11182</c:v>
                </c:pt>
                <c:pt idx="7">
                  <c:v>6735</c:v>
                </c:pt>
                <c:pt idx="8">
                  <c:v>8271</c:v>
                </c:pt>
                <c:pt idx="9">
                  <c:v>8452</c:v>
                </c:pt>
                <c:pt idx="10">
                  <c:v>7298</c:v>
                </c:pt>
                <c:pt idx="11">
                  <c:v>7480</c:v>
                </c:pt>
                <c:pt idx="12">
                  <c:v>93462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F0A-4A04-9DB3-F004A25C95A0}"/>
            </c:ext>
          </c:extLst>
        </c:ser>
        <c:ser>
          <c:idx val="1"/>
          <c:order val="3"/>
          <c:tx>
            <c:strRef>
              <c:f>'Viajeros entr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F0A-4A04-9DB3-F004A25C95A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F0A-4A04-9DB3-F004A25C95A0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TF'!$K$75:$K$87</c:f>
              <c:numCache>
                <c:formatCode>#,##0</c:formatCode>
                <c:ptCount val="13"/>
                <c:pt idx="0">
                  <c:v>6126</c:v>
                </c:pt>
                <c:pt idx="1">
                  <c:v>6836</c:v>
                </c:pt>
                <c:pt idx="2">
                  <c:v>7344</c:v>
                </c:pt>
                <c:pt idx="3">
                  <c:v>7410</c:v>
                </c:pt>
                <c:pt idx="4">
                  <c:v>7995</c:v>
                </c:pt>
                <c:pt idx="5">
                  <c:v>8179</c:v>
                </c:pt>
                <c:pt idx="6">
                  <c:v>11326</c:v>
                </c:pt>
                <c:pt idx="12">
                  <c:v>55216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F0A-4A04-9DB3-F004A25C95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F0A-4A04-9DB3-F004A25C95A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2656</c:v>
                      </c:pt>
                      <c:pt idx="1">
                        <c:v>4007</c:v>
                      </c:pt>
                      <c:pt idx="2">
                        <c:v>5247</c:v>
                      </c:pt>
                      <c:pt idx="3">
                        <c:v>6233</c:v>
                      </c:pt>
                      <c:pt idx="4">
                        <c:v>6564</c:v>
                      </c:pt>
                      <c:pt idx="5">
                        <c:v>6807</c:v>
                      </c:pt>
                      <c:pt idx="6">
                        <c:v>7285</c:v>
                      </c:pt>
                      <c:pt idx="7">
                        <c:v>5224</c:v>
                      </c:pt>
                      <c:pt idx="8">
                        <c:v>6683</c:v>
                      </c:pt>
                      <c:pt idx="9">
                        <c:v>6599</c:v>
                      </c:pt>
                      <c:pt idx="10">
                        <c:v>6822</c:v>
                      </c:pt>
                      <c:pt idx="11">
                        <c:v>5738</c:v>
                      </c:pt>
                      <c:pt idx="12">
                        <c:v>69865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F0A-4A04-9DB3-F004A25C95A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F0A-4A04-9DB3-F004A25C95A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F0A-4A04-9DB3-F004A25C95A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F0A-4A04-9DB3-F004A25C95A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F0A-4A04-9DB3-F004A25C95A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F0A-4A04-9DB3-F004A25C95A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F0A-4A04-9DB3-F004A25C95A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F0A-4A04-9DB3-F004A25C95A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F0A-4A04-9DB3-F004A25C95A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F0A-4A04-9DB3-F004A25C95A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F0A-4A04-9DB3-F004A25C95A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F0A-4A04-9DB3-F004A25C95A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F0A-4A04-9DB3-F004A25C95A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F0A-4A04-9DB3-F004A25C95A0}"/>
              </c:ext>
            </c:extLst>
          </c:dPt>
          <c:cat>
            <c:strRef>
              <c:f>'Viajeros entr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TF'!$L$75:$L$87</c:f>
              <c:numCache>
                <c:formatCode>0.0%</c:formatCode>
                <c:ptCount val="13"/>
                <c:pt idx="0">
                  <c:v>0.25250460028624011</c:v>
                </c:pt>
                <c:pt idx="1">
                  <c:v>0.12120715105789737</c:v>
                </c:pt>
                <c:pt idx="2">
                  <c:v>-7.9237713139418298E-2</c:v>
                </c:pt>
                <c:pt idx="3">
                  <c:v>9.7127628072253502E-2</c:v>
                </c:pt>
                <c:pt idx="4">
                  <c:v>-0.15190410522965947</c:v>
                </c:pt>
                <c:pt idx="5">
                  <c:v>-8.0907967187324403E-2</c:v>
                </c:pt>
                <c:pt idx="6">
                  <c:v>1.2877839384725531E-2</c:v>
                </c:pt>
                <c:pt idx="12">
                  <c:v>-1.8107413174950349E-4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F0A-4A04-9DB3-F004A25C95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16E-478D-9ACB-42EC466F46DA}"/>
              </c:ext>
            </c:extLst>
          </c:dPt>
          <c:val>
            <c:numRef>
              <c:f>'Viajeros entr evol mensu TF'!$G$97:$G$109</c:f>
              <c:numCache>
                <c:formatCode>#,##0</c:formatCode>
                <c:ptCount val="13"/>
                <c:pt idx="0">
                  <c:v>12081</c:v>
                </c:pt>
                <c:pt idx="1">
                  <c:v>10745</c:v>
                </c:pt>
                <c:pt idx="2">
                  <c:v>10168</c:v>
                </c:pt>
                <c:pt idx="3">
                  <c:v>7197</c:v>
                </c:pt>
                <c:pt idx="4">
                  <c:v>4792</c:v>
                </c:pt>
                <c:pt idx="5">
                  <c:v>4604</c:v>
                </c:pt>
                <c:pt idx="6">
                  <c:v>5335</c:v>
                </c:pt>
                <c:pt idx="7">
                  <c:v>5898</c:v>
                </c:pt>
                <c:pt idx="8">
                  <c:v>5263</c:v>
                </c:pt>
                <c:pt idx="9">
                  <c:v>6602</c:v>
                </c:pt>
                <c:pt idx="10">
                  <c:v>10214</c:v>
                </c:pt>
                <c:pt idx="11">
                  <c:v>11520</c:v>
                </c:pt>
                <c:pt idx="12">
                  <c:v>94419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6E-478D-9ACB-42EC466F46DA}"/>
            </c:ext>
          </c:extLst>
        </c:ser>
        <c:ser>
          <c:idx val="0"/>
          <c:order val="2"/>
          <c:tx>
            <c:strRef>
              <c:f>'Viajeros entr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16E-478D-9ACB-42EC466F46D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TF'!$I$97:$I$109</c:f>
              <c:numCache>
                <c:formatCode>#,##0</c:formatCode>
                <c:ptCount val="13"/>
                <c:pt idx="0">
                  <c:v>12686</c:v>
                </c:pt>
                <c:pt idx="1">
                  <c:v>11462</c:v>
                </c:pt>
                <c:pt idx="2">
                  <c:v>11241</c:v>
                </c:pt>
                <c:pt idx="3">
                  <c:v>7965</c:v>
                </c:pt>
                <c:pt idx="4">
                  <c:v>5481</c:v>
                </c:pt>
                <c:pt idx="5">
                  <c:v>4201</c:v>
                </c:pt>
                <c:pt idx="6">
                  <c:v>5964</c:v>
                </c:pt>
                <c:pt idx="7">
                  <c:v>6090</c:v>
                </c:pt>
                <c:pt idx="8">
                  <c:v>6077</c:v>
                </c:pt>
                <c:pt idx="9">
                  <c:v>7730</c:v>
                </c:pt>
                <c:pt idx="10">
                  <c:v>12533</c:v>
                </c:pt>
                <c:pt idx="11">
                  <c:v>12768</c:v>
                </c:pt>
                <c:pt idx="12">
                  <c:v>104198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16E-478D-9ACB-42EC466F46DA}"/>
            </c:ext>
          </c:extLst>
        </c:ser>
        <c:ser>
          <c:idx val="1"/>
          <c:order val="3"/>
          <c:tx>
            <c:strRef>
              <c:f>'Viajeros entr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16E-478D-9ACB-42EC466F46D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16E-478D-9ACB-42EC466F46D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TF'!$K$97:$K$109</c:f>
              <c:numCache>
                <c:formatCode>#,##0</c:formatCode>
                <c:ptCount val="13"/>
                <c:pt idx="0">
                  <c:v>14586</c:v>
                </c:pt>
                <c:pt idx="1">
                  <c:v>12993</c:v>
                </c:pt>
                <c:pt idx="2">
                  <c:v>11980</c:v>
                </c:pt>
                <c:pt idx="3">
                  <c:v>9024</c:v>
                </c:pt>
                <c:pt idx="4">
                  <c:v>5062</c:v>
                </c:pt>
                <c:pt idx="5">
                  <c:v>3853</c:v>
                </c:pt>
                <c:pt idx="6">
                  <c:v>5096</c:v>
                </c:pt>
                <c:pt idx="12">
                  <c:v>62594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16E-478D-9ACB-42EC466F4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16E-478D-9ACB-42EC466F46D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7573</c:v>
                      </c:pt>
                      <c:pt idx="1">
                        <c:v>8064</c:v>
                      </c:pt>
                      <c:pt idx="2">
                        <c:v>8479</c:v>
                      </c:pt>
                      <c:pt idx="3">
                        <c:v>6637</c:v>
                      </c:pt>
                      <c:pt idx="4">
                        <c:v>5493</c:v>
                      </c:pt>
                      <c:pt idx="5">
                        <c:v>5199</c:v>
                      </c:pt>
                      <c:pt idx="6">
                        <c:v>5558</c:v>
                      </c:pt>
                      <c:pt idx="7">
                        <c:v>6638</c:v>
                      </c:pt>
                      <c:pt idx="8">
                        <c:v>7100</c:v>
                      </c:pt>
                      <c:pt idx="9">
                        <c:v>8769</c:v>
                      </c:pt>
                      <c:pt idx="10">
                        <c:v>11464</c:v>
                      </c:pt>
                      <c:pt idx="11">
                        <c:v>13271</c:v>
                      </c:pt>
                      <c:pt idx="12">
                        <c:v>94245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16E-478D-9ACB-42EC466F46D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16E-478D-9ACB-42EC466F46D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16E-478D-9ACB-42EC466F46D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16E-478D-9ACB-42EC466F46D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16E-478D-9ACB-42EC466F46D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16E-478D-9ACB-42EC466F46D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16E-478D-9ACB-42EC466F46D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16E-478D-9ACB-42EC466F46D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16E-478D-9ACB-42EC466F46D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16E-478D-9ACB-42EC466F46D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16E-478D-9ACB-42EC466F46D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16E-478D-9ACB-42EC466F46D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16E-478D-9ACB-42EC466F46D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16E-478D-9ACB-42EC466F46DA}"/>
              </c:ext>
            </c:extLst>
          </c:dPt>
          <c:cat>
            <c:strRef>
              <c:f>'Viajeros entr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TF'!$L$97:$L$109</c:f>
              <c:numCache>
                <c:formatCode>0.0%</c:formatCode>
                <c:ptCount val="13"/>
                <c:pt idx="0">
                  <c:v>0.14977140154501023</c:v>
                </c:pt>
                <c:pt idx="1">
                  <c:v>0.13357180247775258</c:v>
                </c:pt>
                <c:pt idx="2">
                  <c:v>6.5741482074548552E-2</c:v>
                </c:pt>
                <c:pt idx="3">
                  <c:v>0.13295668549905848</c:v>
                </c:pt>
                <c:pt idx="4">
                  <c:v>-7.6445904032110934E-2</c:v>
                </c:pt>
                <c:pt idx="5">
                  <c:v>-8.2837419661985212E-2</c:v>
                </c:pt>
                <c:pt idx="6">
                  <c:v>-0.14553990610328638</c:v>
                </c:pt>
                <c:pt idx="12">
                  <c:v>6.0915254237288163E-2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16E-478D-9ACB-42EC466F46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1D8-46AC-88A2-5F0AAE43CBFC}"/>
              </c:ext>
            </c:extLst>
          </c:dPt>
          <c:val>
            <c:numRef>
              <c:f>'Viajeros entr evol mensu TF'!$G$119:$G$131</c:f>
              <c:numCache>
                <c:formatCode>#,##0</c:formatCode>
                <c:ptCount val="13"/>
                <c:pt idx="0">
                  <c:v>1591</c:v>
                </c:pt>
                <c:pt idx="1">
                  <c:v>1571</c:v>
                </c:pt>
                <c:pt idx="2">
                  <c:v>1094</c:v>
                </c:pt>
                <c:pt idx="3">
                  <c:v>736</c:v>
                </c:pt>
                <c:pt idx="4">
                  <c:v>385</c:v>
                </c:pt>
                <c:pt idx="5">
                  <c:v>683</c:v>
                </c:pt>
                <c:pt idx="6">
                  <c:v>605</c:v>
                </c:pt>
                <c:pt idx="7">
                  <c:v>532</c:v>
                </c:pt>
                <c:pt idx="8">
                  <c:v>623</c:v>
                </c:pt>
                <c:pt idx="9">
                  <c:v>620</c:v>
                </c:pt>
                <c:pt idx="10">
                  <c:v>1066</c:v>
                </c:pt>
                <c:pt idx="11">
                  <c:v>1172</c:v>
                </c:pt>
                <c:pt idx="12">
                  <c:v>10678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D8-46AC-88A2-5F0AAE43CBFC}"/>
            </c:ext>
          </c:extLst>
        </c:ser>
        <c:ser>
          <c:idx val="0"/>
          <c:order val="2"/>
          <c:tx>
            <c:strRef>
              <c:f>'Viajeros entr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1D8-46AC-88A2-5F0AAE43CBF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TF'!$I$119:$I$131</c:f>
              <c:numCache>
                <c:formatCode>#,##0</c:formatCode>
                <c:ptCount val="13"/>
                <c:pt idx="0">
                  <c:v>1627</c:v>
                </c:pt>
                <c:pt idx="1">
                  <c:v>1243</c:v>
                </c:pt>
                <c:pt idx="2">
                  <c:v>1052</c:v>
                </c:pt>
                <c:pt idx="3">
                  <c:v>732</c:v>
                </c:pt>
                <c:pt idx="4">
                  <c:v>495</c:v>
                </c:pt>
                <c:pt idx="5">
                  <c:v>360</c:v>
                </c:pt>
                <c:pt idx="6">
                  <c:v>600</c:v>
                </c:pt>
                <c:pt idx="7">
                  <c:v>645</c:v>
                </c:pt>
                <c:pt idx="8">
                  <c:v>596</c:v>
                </c:pt>
                <c:pt idx="9">
                  <c:v>838</c:v>
                </c:pt>
                <c:pt idx="10">
                  <c:v>1123</c:v>
                </c:pt>
                <c:pt idx="11">
                  <c:v>1145</c:v>
                </c:pt>
                <c:pt idx="12">
                  <c:v>10456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1D8-46AC-88A2-5F0AAE43CBFC}"/>
            </c:ext>
          </c:extLst>
        </c:ser>
        <c:ser>
          <c:idx val="1"/>
          <c:order val="3"/>
          <c:tx>
            <c:strRef>
              <c:f>'Viajeros entr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1D8-46AC-88A2-5F0AAE43CBF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1D8-46AC-88A2-5F0AAE43CBFC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TF'!$K$119:$K$131</c:f>
              <c:numCache>
                <c:formatCode>#,##0</c:formatCode>
                <c:ptCount val="13"/>
                <c:pt idx="0">
                  <c:v>1536</c:v>
                </c:pt>
                <c:pt idx="1">
                  <c:v>1360</c:v>
                </c:pt>
                <c:pt idx="2">
                  <c:v>938</c:v>
                </c:pt>
                <c:pt idx="3">
                  <c:v>670</c:v>
                </c:pt>
                <c:pt idx="4">
                  <c:v>433</c:v>
                </c:pt>
                <c:pt idx="5">
                  <c:v>354</c:v>
                </c:pt>
                <c:pt idx="6">
                  <c:v>566</c:v>
                </c:pt>
                <c:pt idx="12">
                  <c:v>5857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1D8-46AC-88A2-5F0AAE43CB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1D8-46AC-88A2-5F0AAE43CBF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805</c:v>
                      </c:pt>
                      <c:pt idx="1">
                        <c:v>857</c:v>
                      </c:pt>
                      <c:pt idx="2">
                        <c:v>816</c:v>
                      </c:pt>
                      <c:pt idx="3">
                        <c:v>609</c:v>
                      </c:pt>
                      <c:pt idx="4">
                        <c:v>466</c:v>
                      </c:pt>
                      <c:pt idx="5">
                        <c:v>513</c:v>
                      </c:pt>
                      <c:pt idx="6">
                        <c:v>730</c:v>
                      </c:pt>
                      <c:pt idx="7">
                        <c:v>825</c:v>
                      </c:pt>
                      <c:pt idx="8">
                        <c:v>1068</c:v>
                      </c:pt>
                      <c:pt idx="9">
                        <c:v>998</c:v>
                      </c:pt>
                      <c:pt idx="10">
                        <c:v>917</c:v>
                      </c:pt>
                      <c:pt idx="11">
                        <c:v>1313</c:v>
                      </c:pt>
                      <c:pt idx="12">
                        <c:v>9917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1D8-46AC-88A2-5F0AAE43CBF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1D8-46AC-88A2-5F0AAE43CBF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1D8-46AC-88A2-5F0AAE43CBF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1D8-46AC-88A2-5F0AAE43CBF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1D8-46AC-88A2-5F0AAE43CBF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1D8-46AC-88A2-5F0AAE43CBF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1D8-46AC-88A2-5F0AAE43CBF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1D8-46AC-88A2-5F0AAE43CBF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1D8-46AC-88A2-5F0AAE43CBF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1D8-46AC-88A2-5F0AAE43CBF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1D8-46AC-88A2-5F0AAE43CBF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1D8-46AC-88A2-5F0AAE43CBF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1D8-46AC-88A2-5F0AAE43CBF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1D8-46AC-88A2-5F0AAE43CBFC}"/>
              </c:ext>
            </c:extLst>
          </c:dPt>
          <c:cat>
            <c:strRef>
              <c:f>'Viajeros entr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TF'!$L$119:$L$131</c:f>
              <c:numCache>
                <c:formatCode>0.0%</c:formatCode>
                <c:ptCount val="13"/>
                <c:pt idx="0">
                  <c:v>-5.5931161647203465E-2</c:v>
                </c:pt>
                <c:pt idx="1">
                  <c:v>9.4127111826226795E-2</c:v>
                </c:pt>
                <c:pt idx="2">
                  <c:v>-0.10836501901140683</c:v>
                </c:pt>
                <c:pt idx="3">
                  <c:v>-8.4699453551912551E-2</c:v>
                </c:pt>
                <c:pt idx="4">
                  <c:v>-0.12525252525252528</c:v>
                </c:pt>
                <c:pt idx="5">
                  <c:v>-1.6666666666666718E-2</c:v>
                </c:pt>
                <c:pt idx="6">
                  <c:v>-5.6666666666666643E-2</c:v>
                </c:pt>
                <c:pt idx="12">
                  <c:v>-4.1250613848420326E-2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1D8-46AC-88A2-5F0AAE43CB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81210082"/>
          <c:y val="0.139799011610035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'Viajeros entr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123-408E-A8DF-6FA236A4462E}"/>
              </c:ext>
            </c:extLst>
          </c:dPt>
          <c:val>
            <c:numRef>
              <c:f>'Viajeros entr evol mensu TF'!$G$141:$G$153</c:f>
              <c:numCache>
                <c:formatCode>#,##0</c:formatCode>
                <c:ptCount val="13"/>
                <c:pt idx="0">
                  <c:v>1978</c:v>
                </c:pt>
                <c:pt idx="1">
                  <c:v>1621</c:v>
                </c:pt>
                <c:pt idx="2">
                  <c:v>1731</c:v>
                </c:pt>
                <c:pt idx="3">
                  <c:v>987</c:v>
                </c:pt>
                <c:pt idx="4">
                  <c:v>450</c:v>
                </c:pt>
                <c:pt idx="5">
                  <c:v>414</c:v>
                </c:pt>
                <c:pt idx="6">
                  <c:v>495</c:v>
                </c:pt>
                <c:pt idx="7">
                  <c:v>633</c:v>
                </c:pt>
                <c:pt idx="8">
                  <c:v>520</c:v>
                </c:pt>
                <c:pt idx="9">
                  <c:v>789</c:v>
                </c:pt>
                <c:pt idx="10">
                  <c:v>1624</c:v>
                </c:pt>
                <c:pt idx="11">
                  <c:v>1899</c:v>
                </c:pt>
                <c:pt idx="12">
                  <c:v>13141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23-408E-A8DF-6FA236A4462E}"/>
            </c:ext>
          </c:extLst>
        </c:ser>
        <c:ser>
          <c:idx val="0"/>
          <c:order val="3"/>
          <c:tx>
            <c:strRef>
              <c:f>'Viajeros entr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123-408E-A8DF-6FA236A4462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TF'!$I$141:$I$153</c:f>
              <c:numCache>
                <c:formatCode>#,##0</c:formatCode>
                <c:ptCount val="13"/>
                <c:pt idx="0">
                  <c:v>2299</c:v>
                </c:pt>
                <c:pt idx="1">
                  <c:v>1849</c:v>
                </c:pt>
                <c:pt idx="2">
                  <c:v>2042</c:v>
                </c:pt>
                <c:pt idx="3">
                  <c:v>991</c:v>
                </c:pt>
                <c:pt idx="4">
                  <c:v>496</c:v>
                </c:pt>
                <c:pt idx="5">
                  <c:v>341</c:v>
                </c:pt>
                <c:pt idx="6">
                  <c:v>515</c:v>
                </c:pt>
                <c:pt idx="7">
                  <c:v>461</c:v>
                </c:pt>
                <c:pt idx="8">
                  <c:v>664</c:v>
                </c:pt>
                <c:pt idx="9">
                  <c:v>1085</c:v>
                </c:pt>
                <c:pt idx="10">
                  <c:v>2030</c:v>
                </c:pt>
                <c:pt idx="11">
                  <c:v>2644</c:v>
                </c:pt>
                <c:pt idx="12">
                  <c:v>15417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123-408E-A8DF-6FA236A4462E}"/>
            </c:ext>
          </c:extLst>
        </c:ser>
        <c:ser>
          <c:idx val="1"/>
          <c:order val="4"/>
          <c:tx>
            <c:strRef>
              <c:f>'Viajeros entr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123-408E-A8DF-6FA236A4462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123-408E-A8DF-6FA236A4462E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TF'!$K$141:$K$153</c:f>
              <c:numCache>
                <c:formatCode>#,##0</c:formatCode>
                <c:ptCount val="13"/>
                <c:pt idx="0">
                  <c:v>2568</c:v>
                </c:pt>
                <c:pt idx="1">
                  <c:v>1929</c:v>
                </c:pt>
                <c:pt idx="2">
                  <c:v>2228</c:v>
                </c:pt>
                <c:pt idx="3">
                  <c:v>1139</c:v>
                </c:pt>
                <c:pt idx="4">
                  <c:v>497</c:v>
                </c:pt>
                <c:pt idx="5">
                  <c:v>368</c:v>
                </c:pt>
                <c:pt idx="6">
                  <c:v>408</c:v>
                </c:pt>
                <c:pt idx="12">
                  <c:v>9137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123-408E-A8DF-6FA236A446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123-408E-A8DF-6FA236A4462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951</c:v>
                      </c:pt>
                      <c:pt idx="1">
                        <c:v>938</c:v>
                      </c:pt>
                      <c:pt idx="2">
                        <c:v>1100</c:v>
                      </c:pt>
                      <c:pt idx="3">
                        <c:v>852</c:v>
                      </c:pt>
                      <c:pt idx="4">
                        <c:v>480</c:v>
                      </c:pt>
                      <c:pt idx="5">
                        <c:v>330</c:v>
                      </c:pt>
                      <c:pt idx="6">
                        <c:v>456</c:v>
                      </c:pt>
                      <c:pt idx="7">
                        <c:v>554</c:v>
                      </c:pt>
                      <c:pt idx="8">
                        <c:v>710</c:v>
                      </c:pt>
                      <c:pt idx="9">
                        <c:v>1127</c:v>
                      </c:pt>
                      <c:pt idx="10">
                        <c:v>1713</c:v>
                      </c:pt>
                      <c:pt idx="11">
                        <c:v>2050</c:v>
                      </c:pt>
                      <c:pt idx="12">
                        <c:v>11261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123-408E-A8DF-6FA236A4462E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'Viajeros entr evol mensu TF'!$E$139:$F$139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7123-408E-A8DF-6FA236A4462E}"/>
                    </c:ext>
                  </c:extLst>
                </c:dP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('Viajeros entr evol mensu TF'!$E$141:$E$152,'Viajeros entr evol mensu TF'!$E$153)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2175</c:v>
                      </c:pt>
                      <c:pt idx="1">
                        <c:v>1580</c:v>
                      </c:pt>
                      <c:pt idx="2">
                        <c:v>1761</c:v>
                      </c:pt>
                      <c:pt idx="3">
                        <c:v>1142</c:v>
                      </c:pt>
                      <c:pt idx="4">
                        <c:v>474</c:v>
                      </c:pt>
                      <c:pt idx="5">
                        <c:v>472</c:v>
                      </c:pt>
                      <c:pt idx="6">
                        <c:v>508</c:v>
                      </c:pt>
                      <c:pt idx="7">
                        <c:v>557</c:v>
                      </c:pt>
                      <c:pt idx="8">
                        <c:v>556</c:v>
                      </c:pt>
                      <c:pt idx="9">
                        <c:v>849</c:v>
                      </c:pt>
                      <c:pt idx="10">
                        <c:v>1379</c:v>
                      </c:pt>
                      <c:pt idx="11">
                        <c:v>1862</c:v>
                      </c:pt>
                      <c:pt idx="12">
                        <c:v>13315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7123-408E-A8DF-6FA236A4462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'Viajeros entr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123-408E-A8DF-6FA236A4462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123-408E-A8DF-6FA236A4462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123-408E-A8DF-6FA236A4462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123-408E-A8DF-6FA236A4462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123-408E-A8DF-6FA236A4462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123-408E-A8DF-6FA236A4462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123-408E-A8DF-6FA236A4462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123-408E-A8DF-6FA236A4462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123-408E-A8DF-6FA236A4462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123-408E-A8DF-6FA236A4462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123-408E-A8DF-6FA236A4462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123-408E-A8DF-6FA236A4462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123-408E-A8DF-6FA236A4462E}"/>
              </c:ext>
            </c:extLst>
          </c:dPt>
          <c:cat>
            <c:strRef>
              <c:f>'Viajeros entr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TF'!$L$141:$L$153</c:f>
              <c:numCache>
                <c:formatCode>0.0%</c:formatCode>
                <c:ptCount val="13"/>
                <c:pt idx="0">
                  <c:v>0.11700739451935616</c:v>
                </c:pt>
                <c:pt idx="1">
                  <c:v>4.326663061114111E-2</c:v>
                </c:pt>
                <c:pt idx="2">
                  <c:v>9.1087169441723903E-2</c:v>
                </c:pt>
                <c:pt idx="3">
                  <c:v>0.14934409687184669</c:v>
                </c:pt>
                <c:pt idx="4">
                  <c:v>2.0161290322580072E-3</c:v>
                </c:pt>
                <c:pt idx="5">
                  <c:v>7.9178885630498463E-2</c:v>
                </c:pt>
                <c:pt idx="6">
                  <c:v>-0.20776699029126211</c:v>
                </c:pt>
                <c:pt idx="12">
                  <c:v>7.0784015000586065E-2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123-408E-A8DF-6FA236A446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3C-4962-BA9B-57E02AA5D73B}"/>
              </c:ext>
            </c:extLst>
          </c:dPt>
          <c:val>
            <c:numRef>
              <c:f>'Viajeros entr evol mensu TF'!$G$163:$G$175</c:f>
              <c:numCache>
                <c:formatCode>#,##0</c:formatCode>
                <c:ptCount val="13"/>
                <c:pt idx="0">
                  <c:v>871</c:v>
                </c:pt>
                <c:pt idx="1">
                  <c:v>776</c:v>
                </c:pt>
                <c:pt idx="2">
                  <c:v>929</c:v>
                </c:pt>
                <c:pt idx="3">
                  <c:v>585</c:v>
                </c:pt>
                <c:pt idx="4">
                  <c:v>640</c:v>
                </c:pt>
                <c:pt idx="5">
                  <c:v>365</c:v>
                </c:pt>
                <c:pt idx="6">
                  <c:v>436</c:v>
                </c:pt>
                <c:pt idx="7">
                  <c:v>1062</c:v>
                </c:pt>
                <c:pt idx="8">
                  <c:v>597</c:v>
                </c:pt>
                <c:pt idx="9">
                  <c:v>682</c:v>
                </c:pt>
                <c:pt idx="10">
                  <c:v>797</c:v>
                </c:pt>
                <c:pt idx="11">
                  <c:v>847</c:v>
                </c:pt>
                <c:pt idx="12">
                  <c:v>8587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3C-4962-BA9B-57E02AA5D73B}"/>
            </c:ext>
          </c:extLst>
        </c:ser>
        <c:ser>
          <c:idx val="0"/>
          <c:order val="2"/>
          <c:tx>
            <c:strRef>
              <c:f>'Viajeros entr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03C-4962-BA9B-57E02AA5D73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TF'!$I$163:$I$175</c:f>
              <c:numCache>
                <c:formatCode>#,##0</c:formatCode>
                <c:ptCount val="13"/>
                <c:pt idx="0">
                  <c:v>858</c:v>
                </c:pt>
                <c:pt idx="1">
                  <c:v>1068</c:v>
                </c:pt>
                <c:pt idx="2">
                  <c:v>747</c:v>
                </c:pt>
                <c:pt idx="3">
                  <c:v>630</c:v>
                </c:pt>
                <c:pt idx="4">
                  <c:v>580</c:v>
                </c:pt>
                <c:pt idx="5">
                  <c:v>392</c:v>
                </c:pt>
                <c:pt idx="6">
                  <c:v>753</c:v>
                </c:pt>
                <c:pt idx="7">
                  <c:v>1043</c:v>
                </c:pt>
                <c:pt idx="8">
                  <c:v>719</c:v>
                </c:pt>
                <c:pt idx="9">
                  <c:v>777</c:v>
                </c:pt>
                <c:pt idx="10">
                  <c:v>1002</c:v>
                </c:pt>
                <c:pt idx="11">
                  <c:v>965</c:v>
                </c:pt>
                <c:pt idx="12">
                  <c:v>9534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3C-4962-BA9B-57E02AA5D73B}"/>
            </c:ext>
          </c:extLst>
        </c:ser>
        <c:ser>
          <c:idx val="1"/>
          <c:order val="3"/>
          <c:tx>
            <c:strRef>
              <c:f>'Viajeros entr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03C-4962-BA9B-57E02AA5D73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03C-4962-BA9B-57E02AA5D73B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TF'!$K$163:$K$175</c:f>
              <c:numCache>
                <c:formatCode>#,##0</c:formatCode>
                <c:ptCount val="13"/>
                <c:pt idx="0">
                  <c:v>951</c:v>
                </c:pt>
                <c:pt idx="1">
                  <c:v>906</c:v>
                </c:pt>
                <c:pt idx="2">
                  <c:v>1029</c:v>
                </c:pt>
                <c:pt idx="3">
                  <c:v>759</c:v>
                </c:pt>
                <c:pt idx="4">
                  <c:v>541</c:v>
                </c:pt>
                <c:pt idx="5">
                  <c:v>316</c:v>
                </c:pt>
                <c:pt idx="6">
                  <c:v>592</c:v>
                </c:pt>
                <c:pt idx="12">
                  <c:v>5094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03C-4962-BA9B-57E02AA5D7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03C-4962-BA9B-57E02AA5D73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659</c:v>
                      </c:pt>
                      <c:pt idx="1">
                        <c:v>884</c:v>
                      </c:pt>
                      <c:pt idx="2">
                        <c:v>918</c:v>
                      </c:pt>
                      <c:pt idx="3">
                        <c:v>591</c:v>
                      </c:pt>
                      <c:pt idx="4">
                        <c:v>585</c:v>
                      </c:pt>
                      <c:pt idx="5">
                        <c:v>399</c:v>
                      </c:pt>
                      <c:pt idx="6">
                        <c:v>405</c:v>
                      </c:pt>
                      <c:pt idx="7">
                        <c:v>879</c:v>
                      </c:pt>
                      <c:pt idx="8">
                        <c:v>557</c:v>
                      </c:pt>
                      <c:pt idx="9">
                        <c:v>660</c:v>
                      </c:pt>
                      <c:pt idx="10">
                        <c:v>960</c:v>
                      </c:pt>
                      <c:pt idx="11">
                        <c:v>1027</c:v>
                      </c:pt>
                      <c:pt idx="12">
                        <c:v>8524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03C-4962-BA9B-57E02AA5D73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03C-4962-BA9B-57E02AA5D73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03C-4962-BA9B-57E02AA5D73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03C-4962-BA9B-57E02AA5D73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03C-4962-BA9B-57E02AA5D73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03C-4962-BA9B-57E02AA5D73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03C-4962-BA9B-57E02AA5D73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03C-4962-BA9B-57E02AA5D73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03C-4962-BA9B-57E02AA5D73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03C-4962-BA9B-57E02AA5D73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03C-4962-BA9B-57E02AA5D73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03C-4962-BA9B-57E02AA5D73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03C-4962-BA9B-57E02AA5D73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03C-4962-BA9B-57E02AA5D73B}"/>
              </c:ext>
            </c:extLst>
          </c:dPt>
          <c:cat>
            <c:strRef>
              <c:f>'Viajeros entr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TF'!$L$163:$L$175</c:f>
              <c:numCache>
                <c:formatCode>0.0%</c:formatCode>
                <c:ptCount val="13"/>
                <c:pt idx="0">
                  <c:v>0.10839160839160833</c:v>
                </c:pt>
                <c:pt idx="1">
                  <c:v>-0.151685393258427</c:v>
                </c:pt>
                <c:pt idx="2">
                  <c:v>0.3775100401606426</c:v>
                </c:pt>
                <c:pt idx="3">
                  <c:v>0.2047619047619047</c:v>
                </c:pt>
                <c:pt idx="4">
                  <c:v>-6.7241379310344795E-2</c:v>
                </c:pt>
                <c:pt idx="5">
                  <c:v>-0.19387755102040816</c:v>
                </c:pt>
                <c:pt idx="6">
                  <c:v>-0.21381142098273576</c:v>
                </c:pt>
                <c:pt idx="12">
                  <c:v>1.3126491646778149E-2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03C-4962-BA9B-57E02AA5D7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393-46C1-BFBF-FF92AD29BB28}"/>
              </c:ext>
            </c:extLst>
          </c:dPt>
          <c:val>
            <c:numRef>
              <c:f>'Viajeros entr evol mensu TF'!$G$185:$G$197</c:f>
              <c:numCache>
                <c:formatCode>#,##0</c:formatCode>
                <c:ptCount val="13"/>
                <c:pt idx="0">
                  <c:v>283</c:v>
                </c:pt>
                <c:pt idx="1">
                  <c:v>198</c:v>
                </c:pt>
                <c:pt idx="2">
                  <c:v>181</c:v>
                </c:pt>
                <c:pt idx="3">
                  <c:v>107</c:v>
                </c:pt>
                <c:pt idx="4">
                  <c:v>133</c:v>
                </c:pt>
                <c:pt idx="5">
                  <c:v>117</c:v>
                </c:pt>
                <c:pt idx="6">
                  <c:v>123</c:v>
                </c:pt>
                <c:pt idx="7">
                  <c:v>112</c:v>
                </c:pt>
                <c:pt idx="8">
                  <c:v>143</c:v>
                </c:pt>
                <c:pt idx="9">
                  <c:v>155</c:v>
                </c:pt>
                <c:pt idx="10">
                  <c:v>235</c:v>
                </c:pt>
                <c:pt idx="11">
                  <c:v>310</c:v>
                </c:pt>
                <c:pt idx="12">
                  <c:v>2097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93-46C1-BFBF-FF92AD29BB28}"/>
            </c:ext>
          </c:extLst>
        </c:ser>
        <c:ser>
          <c:idx val="0"/>
          <c:order val="2"/>
          <c:tx>
            <c:strRef>
              <c:f>'Viajeros entr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393-46C1-BFBF-FF92AD29BB28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TF'!$I$185:$I$197</c:f>
              <c:numCache>
                <c:formatCode>#,##0</c:formatCode>
                <c:ptCount val="13"/>
                <c:pt idx="0">
                  <c:v>323</c:v>
                </c:pt>
                <c:pt idx="1">
                  <c:v>222</c:v>
                </c:pt>
                <c:pt idx="2">
                  <c:v>183</c:v>
                </c:pt>
                <c:pt idx="3">
                  <c:v>135</c:v>
                </c:pt>
                <c:pt idx="4">
                  <c:v>153</c:v>
                </c:pt>
                <c:pt idx="5">
                  <c:v>111</c:v>
                </c:pt>
                <c:pt idx="6">
                  <c:v>186</c:v>
                </c:pt>
                <c:pt idx="7">
                  <c:v>259</c:v>
                </c:pt>
                <c:pt idx="8">
                  <c:v>145</c:v>
                </c:pt>
                <c:pt idx="9">
                  <c:v>199</c:v>
                </c:pt>
                <c:pt idx="10">
                  <c:v>324</c:v>
                </c:pt>
                <c:pt idx="11">
                  <c:v>300</c:v>
                </c:pt>
                <c:pt idx="12">
                  <c:v>2540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393-46C1-BFBF-FF92AD29BB28}"/>
            </c:ext>
          </c:extLst>
        </c:ser>
        <c:ser>
          <c:idx val="1"/>
          <c:order val="3"/>
          <c:tx>
            <c:strRef>
              <c:f>'Viajeros entr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393-46C1-BFBF-FF92AD29BB2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393-46C1-BFBF-FF92AD29BB28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TF'!$K$185:$K$197</c:f>
              <c:numCache>
                <c:formatCode>#,##0</c:formatCode>
                <c:ptCount val="13"/>
                <c:pt idx="0">
                  <c:v>270</c:v>
                </c:pt>
                <c:pt idx="1">
                  <c:v>272</c:v>
                </c:pt>
                <c:pt idx="2">
                  <c:v>274</c:v>
                </c:pt>
                <c:pt idx="3">
                  <c:v>166</c:v>
                </c:pt>
                <c:pt idx="4">
                  <c:v>110</c:v>
                </c:pt>
                <c:pt idx="5">
                  <c:v>80</c:v>
                </c:pt>
                <c:pt idx="6">
                  <c:v>166</c:v>
                </c:pt>
                <c:pt idx="12">
                  <c:v>1338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393-46C1-BFBF-FF92AD29B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393-46C1-BFBF-FF92AD29BB2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170</c:v>
                      </c:pt>
                      <c:pt idx="1">
                        <c:v>179</c:v>
                      </c:pt>
                      <c:pt idx="2">
                        <c:v>197</c:v>
                      </c:pt>
                      <c:pt idx="3">
                        <c:v>118</c:v>
                      </c:pt>
                      <c:pt idx="4">
                        <c:v>117</c:v>
                      </c:pt>
                      <c:pt idx="5">
                        <c:v>96</c:v>
                      </c:pt>
                      <c:pt idx="6">
                        <c:v>109</c:v>
                      </c:pt>
                      <c:pt idx="7">
                        <c:v>180</c:v>
                      </c:pt>
                      <c:pt idx="8">
                        <c:v>97</c:v>
                      </c:pt>
                      <c:pt idx="9">
                        <c:v>110</c:v>
                      </c:pt>
                      <c:pt idx="10">
                        <c:v>182</c:v>
                      </c:pt>
                      <c:pt idx="11">
                        <c:v>281</c:v>
                      </c:pt>
                      <c:pt idx="12">
                        <c:v>1836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393-46C1-BFBF-FF92AD29BB2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393-46C1-BFBF-FF92AD29BB2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393-46C1-BFBF-FF92AD29BB2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393-46C1-BFBF-FF92AD29BB2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393-46C1-BFBF-FF92AD29BB2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393-46C1-BFBF-FF92AD29BB2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393-46C1-BFBF-FF92AD29BB2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393-46C1-BFBF-FF92AD29BB2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393-46C1-BFBF-FF92AD29BB2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393-46C1-BFBF-FF92AD29BB2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393-46C1-BFBF-FF92AD29BB2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393-46C1-BFBF-FF92AD29BB2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393-46C1-BFBF-FF92AD29BB2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393-46C1-BFBF-FF92AD29BB28}"/>
              </c:ext>
            </c:extLst>
          </c:dPt>
          <c:cat>
            <c:strRef>
              <c:f>'Viajeros entr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TF'!$L$185:$L$197</c:f>
              <c:numCache>
                <c:formatCode>0.0%</c:formatCode>
                <c:ptCount val="13"/>
                <c:pt idx="0">
                  <c:v>-0.16408668730650156</c:v>
                </c:pt>
                <c:pt idx="1">
                  <c:v>0.22522522522522515</c:v>
                </c:pt>
                <c:pt idx="2">
                  <c:v>0.49726775956284164</c:v>
                </c:pt>
                <c:pt idx="3">
                  <c:v>0.22962962962962963</c:v>
                </c:pt>
                <c:pt idx="4">
                  <c:v>-0.28104575163398693</c:v>
                </c:pt>
                <c:pt idx="5">
                  <c:v>-0.27927927927927931</c:v>
                </c:pt>
                <c:pt idx="6">
                  <c:v>-0.10752688172043012</c:v>
                </c:pt>
                <c:pt idx="12">
                  <c:v>1.9040365575019091E-2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393-46C1-BFBF-FF92AD29B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5E89-40BB-9746-94B01B515065}"/>
              </c:ext>
            </c:extLst>
          </c:dPt>
          <c:val>
            <c:numRef>
              <c:f>'Viajeros entr evol mensu TF'!$G$207:$G$219</c:f>
              <c:numCache>
                <c:formatCode>#,##0</c:formatCode>
                <c:ptCount val="13"/>
                <c:pt idx="0">
                  <c:v>273</c:v>
                </c:pt>
                <c:pt idx="1">
                  <c:v>326</c:v>
                </c:pt>
                <c:pt idx="2">
                  <c:v>210</c:v>
                </c:pt>
                <c:pt idx="3">
                  <c:v>191</c:v>
                </c:pt>
                <c:pt idx="4">
                  <c:v>146</c:v>
                </c:pt>
                <c:pt idx="5">
                  <c:v>103</c:v>
                </c:pt>
                <c:pt idx="6">
                  <c:v>146</c:v>
                </c:pt>
                <c:pt idx="7">
                  <c:v>193</c:v>
                </c:pt>
                <c:pt idx="8">
                  <c:v>101</c:v>
                </c:pt>
                <c:pt idx="9">
                  <c:v>124</c:v>
                </c:pt>
                <c:pt idx="10">
                  <c:v>296</c:v>
                </c:pt>
                <c:pt idx="11">
                  <c:v>247</c:v>
                </c:pt>
                <c:pt idx="12">
                  <c:v>2356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E89-40BB-9746-94B01B515065}"/>
            </c:ext>
          </c:extLst>
        </c:ser>
        <c:ser>
          <c:idx val="0"/>
          <c:order val="2"/>
          <c:tx>
            <c:strRef>
              <c:f>'Viajeros entr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5E89-40BB-9746-94B01B515065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TF'!$I$207:$I$219</c:f>
              <c:numCache>
                <c:formatCode>#,##0</c:formatCode>
                <c:ptCount val="13"/>
                <c:pt idx="0">
                  <c:v>376</c:v>
                </c:pt>
                <c:pt idx="1">
                  <c:v>304</c:v>
                </c:pt>
                <c:pt idx="2">
                  <c:v>251</c:v>
                </c:pt>
                <c:pt idx="3">
                  <c:v>133</c:v>
                </c:pt>
                <c:pt idx="4">
                  <c:v>131</c:v>
                </c:pt>
                <c:pt idx="5">
                  <c:v>103</c:v>
                </c:pt>
                <c:pt idx="6">
                  <c:v>207</c:v>
                </c:pt>
                <c:pt idx="7">
                  <c:v>202</c:v>
                </c:pt>
                <c:pt idx="8">
                  <c:v>263</c:v>
                </c:pt>
                <c:pt idx="9">
                  <c:v>186</c:v>
                </c:pt>
                <c:pt idx="10">
                  <c:v>312</c:v>
                </c:pt>
                <c:pt idx="11">
                  <c:v>298</c:v>
                </c:pt>
                <c:pt idx="12">
                  <c:v>2766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E89-40BB-9746-94B01B515065}"/>
            </c:ext>
          </c:extLst>
        </c:ser>
        <c:ser>
          <c:idx val="1"/>
          <c:order val="3"/>
          <c:tx>
            <c:strRef>
              <c:f>'Viajeros entr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5E89-40BB-9746-94B01B51506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5E89-40BB-9746-94B01B515065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TF'!$K$207:$K$219</c:f>
              <c:numCache>
                <c:formatCode>#,##0</c:formatCode>
                <c:ptCount val="13"/>
                <c:pt idx="0">
                  <c:v>385</c:v>
                </c:pt>
                <c:pt idx="1">
                  <c:v>366</c:v>
                </c:pt>
                <c:pt idx="2">
                  <c:v>320</c:v>
                </c:pt>
                <c:pt idx="3">
                  <c:v>218</c:v>
                </c:pt>
                <c:pt idx="4">
                  <c:v>133</c:v>
                </c:pt>
                <c:pt idx="5">
                  <c:v>136</c:v>
                </c:pt>
                <c:pt idx="6">
                  <c:v>193</c:v>
                </c:pt>
                <c:pt idx="12">
                  <c:v>1751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5E89-40BB-9746-94B01B515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5E89-40BB-9746-94B01B51506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270</c:v>
                      </c:pt>
                      <c:pt idx="1">
                        <c:v>270</c:v>
                      </c:pt>
                      <c:pt idx="2">
                        <c:v>212</c:v>
                      </c:pt>
                      <c:pt idx="3">
                        <c:v>157</c:v>
                      </c:pt>
                      <c:pt idx="4">
                        <c:v>143</c:v>
                      </c:pt>
                      <c:pt idx="5">
                        <c:v>125</c:v>
                      </c:pt>
                      <c:pt idx="6">
                        <c:v>98</c:v>
                      </c:pt>
                      <c:pt idx="7">
                        <c:v>369</c:v>
                      </c:pt>
                      <c:pt idx="8">
                        <c:v>209</c:v>
                      </c:pt>
                      <c:pt idx="9">
                        <c:v>124</c:v>
                      </c:pt>
                      <c:pt idx="10">
                        <c:v>302</c:v>
                      </c:pt>
                      <c:pt idx="11">
                        <c:v>294</c:v>
                      </c:pt>
                      <c:pt idx="12">
                        <c:v>2573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5E89-40BB-9746-94B01B51506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5E89-40BB-9746-94B01B51506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5E89-40BB-9746-94B01B51506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5E89-40BB-9746-94B01B51506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5E89-40BB-9746-94B01B51506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5E89-40BB-9746-94B01B51506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5E89-40BB-9746-94B01B51506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5E89-40BB-9746-94B01B51506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5E89-40BB-9746-94B01B51506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5E89-40BB-9746-94B01B51506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5E89-40BB-9746-94B01B51506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5E89-40BB-9746-94B01B51506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5E89-40BB-9746-94B01B51506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5E89-40BB-9746-94B01B515065}"/>
              </c:ext>
            </c:extLst>
          </c:dPt>
          <c:cat>
            <c:strRef>
              <c:f>'Viajeros entr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TF'!$L$207:$L$219</c:f>
              <c:numCache>
                <c:formatCode>0.0%</c:formatCode>
                <c:ptCount val="13"/>
                <c:pt idx="0">
                  <c:v>2.3936170212766061E-2</c:v>
                </c:pt>
                <c:pt idx="1">
                  <c:v>0.20394736842105265</c:v>
                </c:pt>
                <c:pt idx="2">
                  <c:v>0.27490039840637448</c:v>
                </c:pt>
                <c:pt idx="3">
                  <c:v>0.63909774436090228</c:v>
                </c:pt>
                <c:pt idx="4">
                  <c:v>1.5267175572519109E-2</c:v>
                </c:pt>
                <c:pt idx="5">
                  <c:v>0.32038834951456319</c:v>
                </c:pt>
                <c:pt idx="6">
                  <c:v>-6.7632850241545861E-2</c:v>
                </c:pt>
                <c:pt idx="12">
                  <c:v>0.16345514950166118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5E89-40BB-9746-94B01B515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2A8-4FE8-920F-0FDAEF258610}"/>
              </c:ext>
            </c:extLst>
          </c:dPt>
          <c:val>
            <c:numRef>
              <c:f>'Viajeros entr evol mensu TF'!$G$229:$G$241</c:f>
              <c:numCache>
                <c:formatCode>#,##0</c:formatCode>
                <c:ptCount val="13"/>
                <c:pt idx="0">
                  <c:v>283</c:v>
                </c:pt>
                <c:pt idx="1">
                  <c:v>198</c:v>
                </c:pt>
                <c:pt idx="2">
                  <c:v>181</c:v>
                </c:pt>
                <c:pt idx="3">
                  <c:v>107</c:v>
                </c:pt>
                <c:pt idx="4">
                  <c:v>133</c:v>
                </c:pt>
                <c:pt idx="5">
                  <c:v>117</c:v>
                </c:pt>
                <c:pt idx="6">
                  <c:v>123</c:v>
                </c:pt>
                <c:pt idx="7">
                  <c:v>112</c:v>
                </c:pt>
                <c:pt idx="8">
                  <c:v>143</c:v>
                </c:pt>
                <c:pt idx="9">
                  <c:v>155</c:v>
                </c:pt>
                <c:pt idx="10">
                  <c:v>235</c:v>
                </c:pt>
                <c:pt idx="11">
                  <c:v>310</c:v>
                </c:pt>
                <c:pt idx="12">
                  <c:v>2097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A8-4FE8-920F-0FDAEF258610}"/>
            </c:ext>
          </c:extLst>
        </c:ser>
        <c:ser>
          <c:idx val="0"/>
          <c:order val="2"/>
          <c:tx>
            <c:strRef>
              <c:f>'Viajeros entr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2A8-4FE8-920F-0FDAEF258610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TF'!$I$229:$I$241</c:f>
              <c:numCache>
                <c:formatCode>#,##0</c:formatCode>
                <c:ptCount val="13"/>
                <c:pt idx="0">
                  <c:v>323</c:v>
                </c:pt>
                <c:pt idx="1">
                  <c:v>222</c:v>
                </c:pt>
                <c:pt idx="2">
                  <c:v>183</c:v>
                </c:pt>
                <c:pt idx="3">
                  <c:v>135</c:v>
                </c:pt>
                <c:pt idx="4">
                  <c:v>153</c:v>
                </c:pt>
                <c:pt idx="5">
                  <c:v>111</c:v>
                </c:pt>
                <c:pt idx="6">
                  <c:v>186</c:v>
                </c:pt>
                <c:pt idx="7">
                  <c:v>259</c:v>
                </c:pt>
                <c:pt idx="8">
                  <c:v>145</c:v>
                </c:pt>
                <c:pt idx="9">
                  <c:v>199</c:v>
                </c:pt>
                <c:pt idx="10">
                  <c:v>324</c:v>
                </c:pt>
                <c:pt idx="11">
                  <c:v>300</c:v>
                </c:pt>
                <c:pt idx="12">
                  <c:v>2540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2A8-4FE8-920F-0FDAEF258610}"/>
            </c:ext>
          </c:extLst>
        </c:ser>
        <c:ser>
          <c:idx val="1"/>
          <c:order val="3"/>
          <c:tx>
            <c:strRef>
              <c:f>'Viajeros entr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2A8-4FE8-920F-0FDAEF25861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2A8-4FE8-920F-0FDAEF258610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TF'!$K$229:$K$241</c:f>
              <c:numCache>
                <c:formatCode>#,##0</c:formatCode>
                <c:ptCount val="13"/>
                <c:pt idx="0">
                  <c:v>270</c:v>
                </c:pt>
                <c:pt idx="1">
                  <c:v>272</c:v>
                </c:pt>
                <c:pt idx="2">
                  <c:v>274</c:v>
                </c:pt>
                <c:pt idx="3">
                  <c:v>166</c:v>
                </c:pt>
                <c:pt idx="4">
                  <c:v>110</c:v>
                </c:pt>
                <c:pt idx="5">
                  <c:v>80</c:v>
                </c:pt>
                <c:pt idx="6">
                  <c:v>166</c:v>
                </c:pt>
                <c:pt idx="12">
                  <c:v>1338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2A8-4FE8-920F-0FDAEF258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2A8-4FE8-920F-0FDAEF25861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170</c:v>
                      </c:pt>
                      <c:pt idx="1">
                        <c:v>179</c:v>
                      </c:pt>
                      <c:pt idx="2">
                        <c:v>197</c:v>
                      </c:pt>
                      <c:pt idx="3">
                        <c:v>118</c:v>
                      </c:pt>
                      <c:pt idx="4">
                        <c:v>117</c:v>
                      </c:pt>
                      <c:pt idx="5">
                        <c:v>96</c:v>
                      </c:pt>
                      <c:pt idx="6">
                        <c:v>109</c:v>
                      </c:pt>
                      <c:pt idx="7">
                        <c:v>180</c:v>
                      </c:pt>
                      <c:pt idx="8">
                        <c:v>97</c:v>
                      </c:pt>
                      <c:pt idx="9">
                        <c:v>110</c:v>
                      </c:pt>
                      <c:pt idx="10">
                        <c:v>182</c:v>
                      </c:pt>
                      <c:pt idx="11">
                        <c:v>281</c:v>
                      </c:pt>
                      <c:pt idx="12">
                        <c:v>1836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2A8-4FE8-920F-0FDAEF25861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2A8-4FE8-920F-0FDAEF25861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2A8-4FE8-920F-0FDAEF25861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2A8-4FE8-920F-0FDAEF25861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2A8-4FE8-920F-0FDAEF25861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2A8-4FE8-920F-0FDAEF25861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2A8-4FE8-920F-0FDAEF25861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2A8-4FE8-920F-0FDAEF25861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2A8-4FE8-920F-0FDAEF25861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2A8-4FE8-920F-0FDAEF25861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2A8-4FE8-920F-0FDAEF25861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2A8-4FE8-920F-0FDAEF25861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2A8-4FE8-920F-0FDAEF25861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2A8-4FE8-920F-0FDAEF258610}"/>
              </c:ext>
            </c:extLst>
          </c:dPt>
          <c:cat>
            <c:strRef>
              <c:f>'Viajeros entr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TF'!$L$229:$L$241</c:f>
              <c:numCache>
                <c:formatCode>0.0%</c:formatCode>
                <c:ptCount val="13"/>
                <c:pt idx="0">
                  <c:v>-0.16408668730650156</c:v>
                </c:pt>
                <c:pt idx="1">
                  <c:v>0.22522522522522515</c:v>
                </c:pt>
                <c:pt idx="2">
                  <c:v>0.49726775956284164</c:v>
                </c:pt>
                <c:pt idx="3">
                  <c:v>0.22962962962962963</c:v>
                </c:pt>
                <c:pt idx="4">
                  <c:v>-0.28104575163398693</c:v>
                </c:pt>
                <c:pt idx="5">
                  <c:v>-0.27927927927927931</c:v>
                </c:pt>
                <c:pt idx="6">
                  <c:v>-0.10752688172043012</c:v>
                </c:pt>
                <c:pt idx="12">
                  <c:v>1.9040365575019091E-2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2A8-4FE8-920F-0FDAEF2586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B8B-4169-97B9-3659F2BB7081}"/>
              </c:ext>
            </c:extLst>
          </c:dPt>
          <c:val>
            <c:numRef>
              <c:f>'Viajeros entr evol mensu TF'!$G$251:$G$263</c:f>
              <c:numCache>
                <c:formatCode>#,##0</c:formatCode>
                <c:ptCount val="13"/>
                <c:pt idx="0">
                  <c:v>268</c:v>
                </c:pt>
                <c:pt idx="1">
                  <c:v>235</c:v>
                </c:pt>
                <c:pt idx="2">
                  <c:v>198</c:v>
                </c:pt>
                <c:pt idx="3">
                  <c:v>105</c:v>
                </c:pt>
                <c:pt idx="4">
                  <c:v>13</c:v>
                </c:pt>
                <c:pt idx="5">
                  <c:v>39</c:v>
                </c:pt>
                <c:pt idx="6">
                  <c:v>46</c:v>
                </c:pt>
                <c:pt idx="7">
                  <c:v>18</c:v>
                </c:pt>
                <c:pt idx="8">
                  <c:v>24</c:v>
                </c:pt>
                <c:pt idx="9">
                  <c:v>112</c:v>
                </c:pt>
                <c:pt idx="10">
                  <c:v>118</c:v>
                </c:pt>
                <c:pt idx="11">
                  <c:v>158</c:v>
                </c:pt>
                <c:pt idx="12">
                  <c:v>1334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B8B-4169-97B9-3659F2BB7081}"/>
            </c:ext>
          </c:extLst>
        </c:ser>
        <c:ser>
          <c:idx val="0"/>
          <c:order val="2"/>
          <c:tx>
            <c:strRef>
              <c:f>'Viajeros entr evol mensu TF'!$I$249:$J$249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B8B-4169-97B9-3659F2BB7081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TF'!$I$251:$I$263</c:f>
              <c:numCache>
                <c:formatCode>#,##0</c:formatCode>
                <c:ptCount val="13"/>
                <c:pt idx="0">
                  <c:v>203</c:v>
                </c:pt>
                <c:pt idx="1">
                  <c:v>199</c:v>
                </c:pt>
                <c:pt idx="2">
                  <c:v>146</c:v>
                </c:pt>
                <c:pt idx="3">
                  <c:v>82</c:v>
                </c:pt>
                <c:pt idx="4">
                  <c:v>12</c:v>
                </c:pt>
                <c:pt idx="5">
                  <c:v>27</c:v>
                </c:pt>
                <c:pt idx="6">
                  <c:v>38</c:v>
                </c:pt>
                <c:pt idx="7">
                  <c:v>22</c:v>
                </c:pt>
                <c:pt idx="8">
                  <c:v>32</c:v>
                </c:pt>
                <c:pt idx="9">
                  <c:v>53</c:v>
                </c:pt>
                <c:pt idx="10">
                  <c:v>170</c:v>
                </c:pt>
                <c:pt idx="11">
                  <c:v>144</c:v>
                </c:pt>
                <c:pt idx="12">
                  <c:v>1128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B8B-4169-97B9-3659F2BB7081}"/>
            </c:ext>
          </c:extLst>
        </c:ser>
        <c:ser>
          <c:idx val="1"/>
          <c:order val="3"/>
          <c:tx>
            <c:strRef>
              <c:f>'Viajeros entr evol mensu TF'!$K$249:$L$249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B8B-4169-97B9-3659F2BB708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B8B-4169-97B9-3659F2BB7081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TF'!$K$251:$K$263</c:f>
              <c:numCache>
                <c:formatCode>#,##0</c:formatCode>
                <c:ptCount val="13"/>
                <c:pt idx="0">
                  <c:v>160</c:v>
                </c:pt>
                <c:pt idx="1">
                  <c:v>122</c:v>
                </c:pt>
                <c:pt idx="2">
                  <c:v>119</c:v>
                </c:pt>
                <c:pt idx="3">
                  <c:v>78</c:v>
                </c:pt>
                <c:pt idx="4">
                  <c:v>22</c:v>
                </c:pt>
                <c:pt idx="5">
                  <c:v>13</c:v>
                </c:pt>
                <c:pt idx="6">
                  <c:v>13</c:v>
                </c:pt>
                <c:pt idx="12">
                  <c:v>527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B8B-4169-97B9-3659F2BB70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B8B-4169-97B9-3659F2BB708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TF'!$C$251:$C$263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168</c:v>
                      </c:pt>
                      <c:pt idx="1">
                        <c:v>110</c:v>
                      </c:pt>
                      <c:pt idx="2">
                        <c:v>124</c:v>
                      </c:pt>
                      <c:pt idx="3">
                        <c:v>101</c:v>
                      </c:pt>
                      <c:pt idx="4">
                        <c:v>33</c:v>
                      </c:pt>
                      <c:pt idx="5">
                        <c:v>36</c:v>
                      </c:pt>
                      <c:pt idx="6">
                        <c:v>30</c:v>
                      </c:pt>
                      <c:pt idx="7">
                        <c:v>21</c:v>
                      </c:pt>
                      <c:pt idx="8">
                        <c:v>32</c:v>
                      </c:pt>
                      <c:pt idx="9">
                        <c:v>130</c:v>
                      </c:pt>
                      <c:pt idx="10">
                        <c:v>126</c:v>
                      </c:pt>
                      <c:pt idx="11">
                        <c:v>164</c:v>
                      </c:pt>
                      <c:pt idx="12">
                        <c:v>1075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B8B-4169-97B9-3659F2BB708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TF'!$L$250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B8B-4169-97B9-3659F2BB708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B8B-4169-97B9-3659F2BB708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B8B-4169-97B9-3659F2BB708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B8B-4169-97B9-3659F2BB708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B8B-4169-97B9-3659F2BB708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B8B-4169-97B9-3659F2BB708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B8B-4169-97B9-3659F2BB708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B8B-4169-97B9-3659F2BB708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B8B-4169-97B9-3659F2BB708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B8B-4169-97B9-3659F2BB708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B8B-4169-97B9-3659F2BB708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B8B-4169-97B9-3659F2BB708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B8B-4169-97B9-3659F2BB7081}"/>
              </c:ext>
            </c:extLst>
          </c:dPt>
          <c:cat>
            <c:strRef>
              <c:f>'Viajeros entr evol mensu TF'!$B$251:$B$262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TF'!$L$251:$L$263</c:f>
              <c:numCache>
                <c:formatCode>0.0%</c:formatCode>
                <c:ptCount val="13"/>
                <c:pt idx="0">
                  <c:v>-0.21182266009852213</c:v>
                </c:pt>
                <c:pt idx="1">
                  <c:v>-0.38693467336683418</c:v>
                </c:pt>
                <c:pt idx="2">
                  <c:v>-0.18493150684931503</c:v>
                </c:pt>
                <c:pt idx="3">
                  <c:v>-4.8780487804878092E-2</c:v>
                </c:pt>
                <c:pt idx="4">
                  <c:v>0.83333333333333326</c:v>
                </c:pt>
                <c:pt idx="5">
                  <c:v>-0.5185185185185186</c:v>
                </c:pt>
                <c:pt idx="6">
                  <c:v>-0.65789473684210531</c:v>
                </c:pt>
                <c:pt idx="12">
                  <c:v>-0.25459688826025462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B8B-4169-97B9-3659F2BB70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EE87-4B36-B796-6C19F4CF733A}"/>
              </c:ext>
            </c:extLst>
          </c:dPt>
          <c:val>
            <c:numRef>
              <c:f>'Viajeros entr evol mensu TF'!$G$273:$G$285</c:f>
              <c:numCache>
                <c:formatCode>#,##0</c:formatCode>
                <c:ptCount val="13"/>
                <c:pt idx="0">
                  <c:v>390</c:v>
                </c:pt>
                <c:pt idx="1">
                  <c:v>336</c:v>
                </c:pt>
                <c:pt idx="2">
                  <c:v>324</c:v>
                </c:pt>
                <c:pt idx="3">
                  <c:v>205</c:v>
                </c:pt>
                <c:pt idx="4">
                  <c:v>46</c:v>
                </c:pt>
                <c:pt idx="5">
                  <c:v>26</c:v>
                </c:pt>
                <c:pt idx="6">
                  <c:v>47</c:v>
                </c:pt>
                <c:pt idx="7">
                  <c:v>38</c:v>
                </c:pt>
                <c:pt idx="8">
                  <c:v>24</c:v>
                </c:pt>
                <c:pt idx="9">
                  <c:v>228</c:v>
                </c:pt>
                <c:pt idx="10">
                  <c:v>371</c:v>
                </c:pt>
                <c:pt idx="11">
                  <c:v>467</c:v>
                </c:pt>
                <c:pt idx="12">
                  <c:v>2502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E87-4B36-B796-6C19F4CF733A}"/>
            </c:ext>
          </c:extLst>
        </c:ser>
        <c:ser>
          <c:idx val="0"/>
          <c:order val="2"/>
          <c:tx>
            <c:strRef>
              <c:f>'Viajeros entr evol mensu TF'!$I$271:$J$271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EE87-4B36-B796-6C19F4CF733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TF'!$I$273:$I$285</c:f>
              <c:numCache>
                <c:formatCode>#,##0</c:formatCode>
                <c:ptCount val="13"/>
                <c:pt idx="0">
                  <c:v>448</c:v>
                </c:pt>
                <c:pt idx="1">
                  <c:v>370</c:v>
                </c:pt>
                <c:pt idx="2">
                  <c:v>322</c:v>
                </c:pt>
                <c:pt idx="3">
                  <c:v>156</c:v>
                </c:pt>
                <c:pt idx="4">
                  <c:v>45</c:v>
                </c:pt>
                <c:pt idx="5">
                  <c:v>23</c:v>
                </c:pt>
                <c:pt idx="6">
                  <c:v>54</c:v>
                </c:pt>
                <c:pt idx="7">
                  <c:v>14</c:v>
                </c:pt>
                <c:pt idx="8">
                  <c:v>25</c:v>
                </c:pt>
                <c:pt idx="9">
                  <c:v>83</c:v>
                </c:pt>
                <c:pt idx="10">
                  <c:v>452</c:v>
                </c:pt>
                <c:pt idx="11">
                  <c:v>375</c:v>
                </c:pt>
                <c:pt idx="12">
                  <c:v>2367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E87-4B36-B796-6C19F4CF733A}"/>
            </c:ext>
          </c:extLst>
        </c:ser>
        <c:ser>
          <c:idx val="1"/>
          <c:order val="3"/>
          <c:tx>
            <c:strRef>
              <c:f>'Viajeros entr evol mensu TF'!$K$271:$L$271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EE87-4B36-B796-6C19F4CF733A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EE87-4B36-B796-6C19F4CF733A}"/>
              </c:ext>
            </c:extLst>
          </c:dPt>
          <c:cat>
            <c:strRef>
              <c:f>'Viajeros entr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TF'!$K$273:$K$285</c:f>
              <c:numCache>
                <c:formatCode>#,##0</c:formatCode>
                <c:ptCount val="13"/>
                <c:pt idx="0">
                  <c:v>422</c:v>
                </c:pt>
                <c:pt idx="1">
                  <c:v>335</c:v>
                </c:pt>
                <c:pt idx="2">
                  <c:v>263</c:v>
                </c:pt>
                <c:pt idx="3">
                  <c:v>125</c:v>
                </c:pt>
                <c:pt idx="4">
                  <c:v>46</c:v>
                </c:pt>
                <c:pt idx="5">
                  <c:v>25</c:v>
                </c:pt>
                <c:pt idx="6">
                  <c:v>57</c:v>
                </c:pt>
                <c:pt idx="12">
                  <c:v>1273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E87-4B36-B796-6C19F4CF7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EE87-4B36-B796-6C19F4CF733A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TF'!$C$273:$C$285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275</c:v>
                      </c:pt>
                      <c:pt idx="1">
                        <c:v>245</c:v>
                      </c:pt>
                      <c:pt idx="2">
                        <c:v>204</c:v>
                      </c:pt>
                      <c:pt idx="3">
                        <c:v>203</c:v>
                      </c:pt>
                      <c:pt idx="4">
                        <c:v>52</c:v>
                      </c:pt>
                      <c:pt idx="5">
                        <c:v>51</c:v>
                      </c:pt>
                      <c:pt idx="6">
                        <c:v>26</c:v>
                      </c:pt>
                      <c:pt idx="7">
                        <c:v>15</c:v>
                      </c:pt>
                      <c:pt idx="8">
                        <c:v>34</c:v>
                      </c:pt>
                      <c:pt idx="9">
                        <c:v>161</c:v>
                      </c:pt>
                      <c:pt idx="10">
                        <c:v>262</c:v>
                      </c:pt>
                      <c:pt idx="11">
                        <c:v>357</c:v>
                      </c:pt>
                      <c:pt idx="12">
                        <c:v>1885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EE87-4B36-B796-6C19F4CF733A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TF'!$L$272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E87-4B36-B796-6C19F4CF733A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EE87-4B36-B796-6C19F4CF733A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E87-4B36-B796-6C19F4CF733A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EE87-4B36-B796-6C19F4CF733A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EE87-4B36-B796-6C19F4CF733A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EE87-4B36-B796-6C19F4CF733A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EE87-4B36-B796-6C19F4CF733A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EE87-4B36-B796-6C19F4CF733A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EE87-4B36-B796-6C19F4CF733A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EE87-4B36-B796-6C19F4CF733A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EE87-4B36-B796-6C19F4CF733A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EE87-4B36-B796-6C19F4CF733A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EE87-4B36-B796-6C19F4CF733A}"/>
              </c:ext>
            </c:extLst>
          </c:dPt>
          <c:cat>
            <c:strRef>
              <c:f>'Viajeros entr evol mensu TF'!$B$273:$B$284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TF'!$L$273:$L$285</c:f>
              <c:numCache>
                <c:formatCode>0.0%</c:formatCode>
                <c:ptCount val="13"/>
                <c:pt idx="0">
                  <c:v>-5.8035714285714302E-2</c:v>
                </c:pt>
                <c:pt idx="1">
                  <c:v>-9.4594594594594628E-2</c:v>
                </c:pt>
                <c:pt idx="2">
                  <c:v>-0.18322981366459623</c:v>
                </c:pt>
                <c:pt idx="3">
                  <c:v>-0.19871794871794868</c:v>
                </c:pt>
                <c:pt idx="4">
                  <c:v>2.2222222222222143E-2</c:v>
                </c:pt>
                <c:pt idx="5">
                  <c:v>8.6956521739130377E-2</c:v>
                </c:pt>
                <c:pt idx="6">
                  <c:v>5.555555555555558E-2</c:v>
                </c:pt>
                <c:pt idx="12">
                  <c:v>-0.10225669957686878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EE87-4B36-B796-6C19F4CF7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ECE-4C2D-864D-5646B34584B2}"/>
              </c:ext>
            </c:extLst>
          </c:dPt>
          <c:val>
            <c:numRef>
              <c:f>'Viajeros entr evol mensu TF cat'!$G$9:$G$21</c:f>
              <c:numCache>
                <c:formatCode>#,##0</c:formatCode>
                <c:ptCount val="13"/>
                <c:pt idx="0">
                  <c:v>23403</c:v>
                </c:pt>
                <c:pt idx="1">
                  <c:v>22625</c:v>
                </c:pt>
                <c:pt idx="2">
                  <c:v>22971</c:v>
                </c:pt>
                <c:pt idx="3">
                  <c:v>19029</c:v>
                </c:pt>
                <c:pt idx="4">
                  <c:v>17439</c:v>
                </c:pt>
                <c:pt idx="5">
                  <c:v>19479</c:v>
                </c:pt>
                <c:pt idx="6">
                  <c:v>21632</c:v>
                </c:pt>
                <c:pt idx="7">
                  <c:v>15201</c:v>
                </c:pt>
                <c:pt idx="8">
                  <c:v>19577</c:v>
                </c:pt>
                <c:pt idx="9">
                  <c:v>19337</c:v>
                </c:pt>
                <c:pt idx="10">
                  <c:v>25085</c:v>
                </c:pt>
                <c:pt idx="11">
                  <c:v>24629</c:v>
                </c:pt>
                <c:pt idx="12">
                  <c:v>250407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CE-4C2D-864D-5646B34584B2}"/>
            </c:ext>
          </c:extLst>
        </c:ser>
        <c:ser>
          <c:idx val="0"/>
          <c:order val="2"/>
          <c:tx>
            <c:strRef>
              <c:f>'Viajeros entr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ECE-4C2D-864D-5646B34584B2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cat'!$I$9:$I$21</c:f>
              <c:numCache>
                <c:formatCode>#,##0</c:formatCode>
                <c:ptCount val="13"/>
                <c:pt idx="0">
                  <c:v>24602</c:v>
                </c:pt>
                <c:pt idx="1">
                  <c:v>24926</c:v>
                </c:pt>
                <c:pt idx="2">
                  <c:v>26883</c:v>
                </c:pt>
                <c:pt idx="3">
                  <c:v>20857</c:v>
                </c:pt>
                <c:pt idx="4">
                  <c:v>22620</c:v>
                </c:pt>
                <c:pt idx="5">
                  <c:v>20873</c:v>
                </c:pt>
                <c:pt idx="6">
                  <c:v>23873</c:v>
                </c:pt>
                <c:pt idx="7">
                  <c:v>16969</c:v>
                </c:pt>
                <c:pt idx="8">
                  <c:v>21810</c:v>
                </c:pt>
                <c:pt idx="9">
                  <c:v>24469</c:v>
                </c:pt>
                <c:pt idx="10">
                  <c:v>28486</c:v>
                </c:pt>
                <c:pt idx="11">
                  <c:v>26233</c:v>
                </c:pt>
                <c:pt idx="12">
                  <c:v>282601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ECE-4C2D-864D-5646B34584B2}"/>
            </c:ext>
          </c:extLst>
        </c:ser>
        <c:ser>
          <c:idx val="1"/>
          <c:order val="3"/>
          <c:tx>
            <c:strRef>
              <c:f>'Viajeros entr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ECE-4C2D-864D-5646B34584B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CE-4C2D-864D-5646B34584B2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cat'!$K$9:$K$21</c:f>
              <c:numCache>
                <c:formatCode>#,##0</c:formatCode>
                <c:ptCount val="13"/>
                <c:pt idx="0">
                  <c:v>28418</c:v>
                </c:pt>
                <c:pt idx="1">
                  <c:v>27857</c:v>
                </c:pt>
                <c:pt idx="2">
                  <c:v>27912</c:v>
                </c:pt>
                <c:pt idx="3">
                  <c:v>23055</c:v>
                </c:pt>
                <c:pt idx="4">
                  <c:v>20399</c:v>
                </c:pt>
                <c:pt idx="5">
                  <c:v>19069</c:v>
                </c:pt>
                <c:pt idx="6">
                  <c:v>21827</c:v>
                </c:pt>
                <c:pt idx="12">
                  <c:v>168537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ECE-4C2D-864D-5646B3458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ECE-4C2D-864D-5646B34584B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14146</c:v>
                      </c:pt>
                      <c:pt idx="1">
                        <c:v>17059</c:v>
                      </c:pt>
                      <c:pt idx="2">
                        <c:v>20054</c:v>
                      </c:pt>
                      <c:pt idx="3">
                        <c:v>17340</c:v>
                      </c:pt>
                      <c:pt idx="4">
                        <c:v>18214</c:v>
                      </c:pt>
                      <c:pt idx="5">
                        <c:v>17608</c:v>
                      </c:pt>
                      <c:pt idx="6">
                        <c:v>18083</c:v>
                      </c:pt>
                      <c:pt idx="7">
                        <c:v>15520</c:v>
                      </c:pt>
                      <c:pt idx="8">
                        <c:v>19959</c:v>
                      </c:pt>
                      <c:pt idx="9">
                        <c:v>21932</c:v>
                      </c:pt>
                      <c:pt idx="10">
                        <c:v>25251</c:v>
                      </c:pt>
                      <c:pt idx="11">
                        <c:v>23965</c:v>
                      </c:pt>
                      <c:pt idx="12">
                        <c:v>229131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ECE-4C2D-864D-5646B34584B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ECE-4C2D-864D-5646B34584B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ECE-4C2D-864D-5646B34584B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ECE-4C2D-864D-5646B34584B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ECE-4C2D-864D-5646B34584B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ECE-4C2D-864D-5646B34584B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ECE-4C2D-864D-5646B34584B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ECE-4C2D-864D-5646B34584B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ECE-4C2D-864D-5646B34584B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ECE-4C2D-864D-5646B34584B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ECE-4C2D-864D-5646B34584B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ECE-4C2D-864D-5646B34584B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ECE-4C2D-864D-5646B34584B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ECE-4C2D-864D-5646B34584B2}"/>
              </c:ext>
            </c:extLst>
          </c:dPt>
          <c:cat>
            <c:strRef>
              <c:f>'Viajeros entr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cat'!$L$9:$L$21</c:f>
              <c:numCache>
                <c:formatCode>0.0%</c:formatCode>
                <c:ptCount val="13"/>
                <c:pt idx="0">
                  <c:v>0.15510934070400784</c:v>
                </c:pt>
                <c:pt idx="1">
                  <c:v>0.1175880606595523</c:v>
                </c:pt>
                <c:pt idx="2">
                  <c:v>3.8276978015846508E-2</c:v>
                </c:pt>
                <c:pt idx="3">
                  <c:v>0.1053842834539962</c:v>
                </c:pt>
                <c:pt idx="4">
                  <c:v>-9.818744473916885E-2</c:v>
                </c:pt>
                <c:pt idx="5">
                  <c:v>-8.6427442150146083E-2</c:v>
                </c:pt>
                <c:pt idx="6">
                  <c:v>-8.570351443052826E-2</c:v>
                </c:pt>
                <c:pt idx="12">
                  <c:v>2.3707132184117574E-2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ECE-4C2D-864D-5646B34584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61E-427B-ACCA-7902FF1822D8}"/>
              </c:ext>
            </c:extLst>
          </c:dPt>
          <c:val>
            <c:numRef>
              <c:f>'Viajeros entr evol mensu TF cat'!$G$31:$G$43</c:f>
              <c:numCache>
                <c:formatCode>#,##0</c:formatCode>
                <c:ptCount val="13"/>
                <c:pt idx="0">
                  <c:v>23403</c:v>
                </c:pt>
                <c:pt idx="1">
                  <c:v>22625</c:v>
                </c:pt>
                <c:pt idx="2">
                  <c:v>22971</c:v>
                </c:pt>
                <c:pt idx="3">
                  <c:v>19029</c:v>
                </c:pt>
                <c:pt idx="4">
                  <c:v>17439</c:v>
                </c:pt>
                <c:pt idx="5">
                  <c:v>19479</c:v>
                </c:pt>
                <c:pt idx="6">
                  <c:v>21632</c:v>
                </c:pt>
                <c:pt idx="7">
                  <c:v>15201</c:v>
                </c:pt>
                <c:pt idx="8">
                  <c:v>19577</c:v>
                </c:pt>
                <c:pt idx="9">
                  <c:v>19337</c:v>
                </c:pt>
                <c:pt idx="10">
                  <c:v>25085</c:v>
                </c:pt>
                <c:pt idx="11">
                  <c:v>24629</c:v>
                </c:pt>
                <c:pt idx="12">
                  <c:v>250407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1E-427B-ACCA-7902FF1822D8}"/>
            </c:ext>
          </c:extLst>
        </c:ser>
        <c:ser>
          <c:idx val="0"/>
          <c:order val="2"/>
          <c:tx>
            <c:strRef>
              <c:f>'Viajeros entr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61E-427B-ACCA-7902FF1822D8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cat'!$I$31:$I$43</c:f>
              <c:numCache>
                <c:formatCode>#,##0</c:formatCode>
                <c:ptCount val="13"/>
                <c:pt idx="0">
                  <c:v>24602</c:v>
                </c:pt>
                <c:pt idx="1">
                  <c:v>24926</c:v>
                </c:pt>
                <c:pt idx="2">
                  <c:v>26883</c:v>
                </c:pt>
                <c:pt idx="3">
                  <c:v>20857</c:v>
                </c:pt>
                <c:pt idx="4">
                  <c:v>22620</c:v>
                </c:pt>
                <c:pt idx="5">
                  <c:v>20873</c:v>
                </c:pt>
                <c:pt idx="6">
                  <c:v>23873</c:v>
                </c:pt>
                <c:pt idx="7">
                  <c:v>16969</c:v>
                </c:pt>
                <c:pt idx="8">
                  <c:v>21810</c:v>
                </c:pt>
                <c:pt idx="9">
                  <c:v>24469</c:v>
                </c:pt>
                <c:pt idx="10">
                  <c:v>28486</c:v>
                </c:pt>
                <c:pt idx="11">
                  <c:v>26233</c:v>
                </c:pt>
                <c:pt idx="12">
                  <c:v>282601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61E-427B-ACCA-7902FF1822D8}"/>
            </c:ext>
          </c:extLst>
        </c:ser>
        <c:ser>
          <c:idx val="1"/>
          <c:order val="3"/>
          <c:tx>
            <c:strRef>
              <c:f>'Viajeros entr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61E-427B-ACCA-7902FF1822D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61E-427B-ACCA-7902FF1822D8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cat'!$K$31:$K$43</c:f>
              <c:numCache>
                <c:formatCode>#,##0</c:formatCode>
                <c:ptCount val="13"/>
                <c:pt idx="0">
                  <c:v>28418</c:v>
                </c:pt>
                <c:pt idx="1">
                  <c:v>27857</c:v>
                </c:pt>
                <c:pt idx="2">
                  <c:v>27912</c:v>
                </c:pt>
                <c:pt idx="3">
                  <c:v>23055</c:v>
                </c:pt>
                <c:pt idx="4">
                  <c:v>20399</c:v>
                </c:pt>
                <c:pt idx="5">
                  <c:v>19069</c:v>
                </c:pt>
                <c:pt idx="6">
                  <c:v>21827</c:v>
                </c:pt>
                <c:pt idx="12">
                  <c:v>168537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61E-427B-ACCA-7902FF1822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61E-427B-ACCA-7902FF1822D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14146</c:v>
                      </c:pt>
                      <c:pt idx="1">
                        <c:v>17059</c:v>
                      </c:pt>
                      <c:pt idx="2">
                        <c:v>20054</c:v>
                      </c:pt>
                      <c:pt idx="3">
                        <c:v>17340</c:v>
                      </c:pt>
                      <c:pt idx="4">
                        <c:v>18214</c:v>
                      </c:pt>
                      <c:pt idx="5">
                        <c:v>17608</c:v>
                      </c:pt>
                      <c:pt idx="6">
                        <c:v>18083</c:v>
                      </c:pt>
                      <c:pt idx="7">
                        <c:v>15520</c:v>
                      </c:pt>
                      <c:pt idx="8">
                        <c:v>19959</c:v>
                      </c:pt>
                      <c:pt idx="9">
                        <c:v>21932</c:v>
                      </c:pt>
                      <c:pt idx="10">
                        <c:v>25251</c:v>
                      </c:pt>
                      <c:pt idx="11">
                        <c:v>23965</c:v>
                      </c:pt>
                      <c:pt idx="12">
                        <c:v>229131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61E-427B-ACCA-7902FF1822D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61E-427B-ACCA-7902FF1822D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61E-427B-ACCA-7902FF1822D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61E-427B-ACCA-7902FF1822D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61E-427B-ACCA-7902FF1822D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61E-427B-ACCA-7902FF1822D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61E-427B-ACCA-7902FF1822D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61E-427B-ACCA-7902FF1822D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61E-427B-ACCA-7902FF1822D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61E-427B-ACCA-7902FF1822D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61E-427B-ACCA-7902FF1822D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61E-427B-ACCA-7902FF1822D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61E-427B-ACCA-7902FF1822D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61E-427B-ACCA-7902FF1822D8}"/>
              </c:ext>
            </c:extLst>
          </c:dPt>
          <c:cat>
            <c:strRef>
              <c:f>'Viajeros entr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cat'!$L$31:$L$43</c:f>
              <c:numCache>
                <c:formatCode>0.0%</c:formatCode>
                <c:ptCount val="13"/>
                <c:pt idx="0">
                  <c:v>0.15510934070400784</c:v>
                </c:pt>
                <c:pt idx="1">
                  <c:v>0.1175880606595523</c:v>
                </c:pt>
                <c:pt idx="2">
                  <c:v>3.8276978015846508E-2</c:v>
                </c:pt>
                <c:pt idx="3">
                  <c:v>0.1053842834539962</c:v>
                </c:pt>
                <c:pt idx="4">
                  <c:v>-9.818744473916885E-2</c:v>
                </c:pt>
                <c:pt idx="5">
                  <c:v>-8.6427442150146083E-2</c:v>
                </c:pt>
                <c:pt idx="6">
                  <c:v>-8.570351443052826E-2</c:v>
                </c:pt>
                <c:pt idx="12">
                  <c:v>2.3707132184117574E-2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61E-427B-ACCA-7902FF1822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C05-4894-A1BB-07A197D7EA55}"/>
              </c:ext>
            </c:extLst>
          </c:dPt>
          <c:val>
            <c:numRef>
              <c:f>'Viajeros entr evol mensu TF cat'!$G$53:$G$65</c:f>
              <c:numCache>
                <c:formatCode>#,##0</c:formatCode>
                <c:ptCount val="13"/>
                <c:pt idx="0">
                  <c:v>13674</c:v>
                </c:pt>
                <c:pt idx="1">
                  <c:v>13097</c:v>
                </c:pt>
                <c:pt idx="2">
                  <c:v>13219</c:v>
                </c:pt>
                <c:pt idx="3">
                  <c:v>11165</c:v>
                </c:pt>
                <c:pt idx="4">
                  <c:v>10226</c:v>
                </c:pt>
                <c:pt idx="5">
                  <c:v>11059</c:v>
                </c:pt>
                <c:pt idx="6">
                  <c:v>12572</c:v>
                </c:pt>
                <c:pt idx="7">
                  <c:v>9290</c:v>
                </c:pt>
                <c:pt idx="8">
                  <c:v>12468</c:v>
                </c:pt>
                <c:pt idx="9">
                  <c:v>12954</c:v>
                </c:pt>
                <c:pt idx="10">
                  <c:v>16047</c:v>
                </c:pt>
                <c:pt idx="11">
                  <c:v>15417</c:v>
                </c:pt>
                <c:pt idx="12">
                  <c:v>151188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C05-4894-A1BB-07A197D7EA55}"/>
            </c:ext>
          </c:extLst>
        </c:ser>
        <c:ser>
          <c:idx val="0"/>
          <c:order val="2"/>
          <c:tx>
            <c:strRef>
              <c:f>'Viajeros entr evol mensu TF cat'!$I$51:$J$51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C05-4894-A1BB-07A197D7EA55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cat'!$I$53:$I$65</c:f>
              <c:numCache>
                <c:formatCode>#,##0</c:formatCode>
                <c:ptCount val="13"/>
                <c:pt idx="0">
                  <c:v>15504</c:v>
                </c:pt>
                <c:pt idx="1">
                  <c:v>15698</c:v>
                </c:pt>
                <c:pt idx="2">
                  <c:v>17327</c:v>
                </c:pt>
                <c:pt idx="3">
                  <c:v>13392</c:v>
                </c:pt>
                <c:pt idx="4">
                  <c:v>15356</c:v>
                </c:pt>
                <c:pt idx="5">
                  <c:v>14375</c:v>
                </c:pt>
                <c:pt idx="6">
                  <c:v>16611</c:v>
                </c:pt>
                <c:pt idx="7">
                  <c:v>11918</c:v>
                </c:pt>
                <c:pt idx="8">
                  <c:v>15013</c:v>
                </c:pt>
                <c:pt idx="9">
                  <c:v>16315</c:v>
                </c:pt>
                <c:pt idx="10">
                  <c:v>18883</c:v>
                </c:pt>
                <c:pt idx="11">
                  <c:v>16208</c:v>
                </c:pt>
                <c:pt idx="12">
                  <c:v>186600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C05-4894-A1BB-07A197D7EA55}"/>
            </c:ext>
          </c:extLst>
        </c:ser>
        <c:ser>
          <c:idx val="1"/>
          <c:order val="3"/>
          <c:tx>
            <c:strRef>
              <c:f>'Viajeros entr evol mensu TF cat'!$K$51:$L$51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C05-4894-A1BB-07A197D7EA5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C05-4894-A1BB-07A197D7EA55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cat'!$K$53:$K$65</c:f>
              <c:numCache>
                <c:formatCode>#,##0</c:formatCode>
                <c:ptCount val="13"/>
                <c:pt idx="0">
                  <c:v>17166</c:v>
                </c:pt>
                <c:pt idx="1">
                  <c:v>16762</c:v>
                </c:pt>
                <c:pt idx="2">
                  <c:v>15554</c:v>
                </c:pt>
                <c:pt idx="3">
                  <c:v>14367</c:v>
                </c:pt>
                <c:pt idx="4">
                  <c:v>11665</c:v>
                </c:pt>
                <c:pt idx="5">
                  <c:v>10873</c:v>
                </c:pt>
                <c:pt idx="6">
                  <c:v>12163</c:v>
                </c:pt>
                <c:pt idx="12">
                  <c:v>110536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C05-4894-A1BB-07A197D7E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C05-4894-A1BB-07A197D7EA5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8448</c:v>
                      </c:pt>
                      <c:pt idx="1">
                        <c:v>10670</c:v>
                      </c:pt>
                      <c:pt idx="2">
                        <c:v>12702</c:v>
                      </c:pt>
                      <c:pt idx="3">
                        <c:v>11294</c:v>
                      </c:pt>
                      <c:pt idx="4">
                        <c:v>10870</c:v>
                      </c:pt>
                      <c:pt idx="5">
                        <c:v>10141</c:v>
                      </c:pt>
                      <c:pt idx="6">
                        <c:v>10838</c:v>
                      </c:pt>
                      <c:pt idx="7">
                        <c:v>8772</c:v>
                      </c:pt>
                      <c:pt idx="8">
                        <c:v>11314</c:v>
                      </c:pt>
                      <c:pt idx="9">
                        <c:v>12410</c:v>
                      </c:pt>
                      <c:pt idx="10">
                        <c:v>14671</c:v>
                      </c:pt>
                      <c:pt idx="11">
                        <c:v>13567</c:v>
                      </c:pt>
                      <c:pt idx="12">
                        <c:v>135697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C05-4894-A1BB-07A197D7EA5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C05-4894-A1BB-07A197D7EA5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C05-4894-A1BB-07A197D7EA5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C05-4894-A1BB-07A197D7EA5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C05-4894-A1BB-07A197D7EA5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C05-4894-A1BB-07A197D7EA5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C05-4894-A1BB-07A197D7EA5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C05-4894-A1BB-07A197D7EA5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C05-4894-A1BB-07A197D7EA5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C05-4894-A1BB-07A197D7EA5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C05-4894-A1BB-07A197D7EA5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C05-4894-A1BB-07A197D7EA5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C05-4894-A1BB-07A197D7EA5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C05-4894-A1BB-07A197D7EA55}"/>
              </c:ext>
            </c:extLst>
          </c:dPt>
          <c:cat>
            <c:strRef>
              <c:f>'Viajeros entr evol mensu TF cat'!$B$53:$B$64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cat'!$L$53:$L$65</c:f>
              <c:numCache>
                <c:formatCode>0.0%</c:formatCode>
                <c:ptCount val="13"/>
                <c:pt idx="0">
                  <c:v>0.1071981424148607</c:v>
                </c:pt>
                <c:pt idx="1">
                  <c:v>6.7779334947126957E-2</c:v>
                </c:pt>
                <c:pt idx="2">
                  <c:v>-0.10232584982974546</c:v>
                </c:pt>
                <c:pt idx="3">
                  <c:v>7.2804659498207913E-2</c:v>
                </c:pt>
                <c:pt idx="4">
                  <c:v>-0.2403620734566293</c:v>
                </c:pt>
                <c:pt idx="5">
                  <c:v>-0.24361739130434779</c:v>
                </c:pt>
                <c:pt idx="6">
                  <c:v>-0.26777436638372165</c:v>
                </c:pt>
                <c:pt idx="12">
                  <c:v>2.0995169171369676E-2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C05-4894-A1BB-07A197D7E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205497302908249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'Viajeros entr evol mensu TF cat'!$G$73:$H$73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FAB-498B-B4D5-3747117ADDF5}"/>
              </c:ext>
            </c:extLst>
          </c:dPt>
          <c:val>
            <c:numRef>
              <c:f>'Viajeros entr evol mensu TF cat'!$G$75:$G$87</c:f>
              <c:numCache>
                <c:formatCode>#,##0</c:formatCode>
                <c:ptCount val="13"/>
                <c:pt idx="0">
                  <c:v>9729</c:v>
                </c:pt>
                <c:pt idx="1">
                  <c:v>9528</c:v>
                </c:pt>
                <c:pt idx="2">
                  <c:v>9752</c:v>
                </c:pt>
                <c:pt idx="3">
                  <c:v>7864</c:v>
                </c:pt>
                <c:pt idx="4">
                  <c:v>7213</c:v>
                </c:pt>
                <c:pt idx="5">
                  <c:v>8420</c:v>
                </c:pt>
                <c:pt idx="6">
                  <c:v>9060</c:v>
                </c:pt>
                <c:pt idx="7">
                  <c:v>5911</c:v>
                </c:pt>
                <c:pt idx="8">
                  <c:v>7109</c:v>
                </c:pt>
                <c:pt idx="9">
                  <c:v>6383</c:v>
                </c:pt>
                <c:pt idx="10">
                  <c:v>9038</c:v>
                </c:pt>
                <c:pt idx="11">
                  <c:v>9212</c:v>
                </c:pt>
                <c:pt idx="12">
                  <c:v>99219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AB-498B-B4D5-3747117ADDF5}"/>
            </c:ext>
          </c:extLst>
        </c:ser>
        <c:ser>
          <c:idx val="0"/>
          <c:order val="2"/>
          <c:tx>
            <c:strRef>
              <c:f>'Viajeros entr evol mensu TF cat'!$I$73:$J$73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FAB-498B-B4D5-3747117ADDF5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cat'!$I$75:$I$87</c:f>
              <c:numCache>
                <c:formatCode>#,##0</c:formatCode>
                <c:ptCount val="13"/>
                <c:pt idx="0">
                  <c:v>9098</c:v>
                </c:pt>
                <c:pt idx="1">
                  <c:v>9228</c:v>
                </c:pt>
                <c:pt idx="2">
                  <c:v>9556</c:v>
                </c:pt>
                <c:pt idx="3">
                  <c:v>7465</c:v>
                </c:pt>
                <c:pt idx="4">
                  <c:v>7264</c:v>
                </c:pt>
                <c:pt idx="5">
                  <c:v>6498</c:v>
                </c:pt>
                <c:pt idx="6">
                  <c:v>7262</c:v>
                </c:pt>
                <c:pt idx="7">
                  <c:v>5051</c:v>
                </c:pt>
                <c:pt idx="8">
                  <c:v>6797</c:v>
                </c:pt>
                <c:pt idx="9">
                  <c:v>8154</c:v>
                </c:pt>
                <c:pt idx="10">
                  <c:v>9603</c:v>
                </c:pt>
                <c:pt idx="11">
                  <c:v>10025</c:v>
                </c:pt>
                <c:pt idx="12">
                  <c:v>96001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FAB-498B-B4D5-3747117ADDF5}"/>
            </c:ext>
          </c:extLst>
        </c:ser>
        <c:ser>
          <c:idx val="1"/>
          <c:order val="3"/>
          <c:tx>
            <c:strRef>
              <c:f>'Viajeros entr evol mensu TF cat'!$K$73:$L$73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FAB-498B-B4D5-3747117ADDF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FAB-498B-B4D5-3747117ADDF5}"/>
              </c:ext>
            </c:extLst>
          </c:dPt>
          <c:cat>
            <c:strRef>
              <c:f>'Viajeros entr evol mensu TF cat'!$A$9:$A$21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'Viajeros entr evol mensu TF cat'!$K$75:$K$87</c:f>
              <c:numCache>
                <c:formatCode>#,##0</c:formatCode>
                <c:ptCount val="13"/>
                <c:pt idx="0">
                  <c:v>11252</c:v>
                </c:pt>
                <c:pt idx="1">
                  <c:v>10063</c:v>
                </c:pt>
                <c:pt idx="2">
                  <c:v>10258</c:v>
                </c:pt>
                <c:pt idx="3">
                  <c:v>8489</c:v>
                </c:pt>
                <c:pt idx="4">
                  <c:v>7229</c:v>
                </c:pt>
                <c:pt idx="5">
                  <c:v>6812</c:v>
                </c:pt>
                <c:pt idx="6">
                  <c:v>6765</c:v>
                </c:pt>
                <c:pt idx="12">
                  <c:v>58001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FAB-498B-B4D5-3747117AD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'Viajeros entr evol mensu TF cat'!$C$73:$D$73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FAB-498B-B4D5-3747117ADDF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'Viajeros entr evol mensu TF cat'!$A$9:$A$21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'Viajeros entr evol mensu TF cat'!$C$75:$C$87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5698</c:v>
                      </c:pt>
                      <c:pt idx="1">
                        <c:v>6389</c:v>
                      </c:pt>
                      <c:pt idx="2">
                        <c:v>7352</c:v>
                      </c:pt>
                      <c:pt idx="3">
                        <c:v>6046</c:v>
                      </c:pt>
                      <c:pt idx="4">
                        <c:v>7344</c:v>
                      </c:pt>
                      <c:pt idx="5">
                        <c:v>7467</c:v>
                      </c:pt>
                      <c:pt idx="6">
                        <c:v>7245</c:v>
                      </c:pt>
                      <c:pt idx="7">
                        <c:v>6748</c:v>
                      </c:pt>
                      <c:pt idx="8">
                        <c:v>8645</c:v>
                      </c:pt>
                      <c:pt idx="9">
                        <c:v>9522</c:v>
                      </c:pt>
                      <c:pt idx="10">
                        <c:v>10580</c:v>
                      </c:pt>
                      <c:pt idx="11">
                        <c:v>10398</c:v>
                      </c:pt>
                      <c:pt idx="12">
                        <c:v>93434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FAB-498B-B4D5-3747117ADDF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'Viajeros entr evol mensu TF cat'!$L$74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FAB-498B-B4D5-3747117ADDF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FAB-498B-B4D5-3747117ADDF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FAB-498B-B4D5-3747117ADDF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FAB-498B-B4D5-3747117ADDF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FAB-498B-B4D5-3747117ADDF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FAB-498B-B4D5-3747117ADDF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FAB-498B-B4D5-3747117ADDF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FAB-498B-B4D5-3747117ADDF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FAB-498B-B4D5-3747117ADDF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FAB-498B-B4D5-3747117ADDF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FAB-498B-B4D5-3747117ADDF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FAB-498B-B4D5-3747117ADDF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FAB-498B-B4D5-3747117ADDF5}"/>
              </c:ext>
            </c:extLst>
          </c:dPt>
          <c:cat>
            <c:strRef>
              <c:f>'Viajeros entr evol mensu TF cat'!$B$75:$B$86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'Viajeros entr evol mensu TF cat'!$L$75:$L$87</c:f>
              <c:numCache>
                <c:formatCode>0.0%</c:formatCode>
                <c:ptCount val="13"/>
                <c:pt idx="0">
                  <c:v>0.23675533084194322</c:v>
                </c:pt>
                <c:pt idx="1">
                  <c:v>9.0485478977026412E-2</c:v>
                </c:pt>
                <c:pt idx="2">
                  <c:v>7.3461699455839247E-2</c:v>
                </c:pt>
                <c:pt idx="3">
                  <c:v>0.13717347622237108</c:v>
                </c:pt>
                <c:pt idx="4">
                  <c:v>-4.8182819383260078E-3</c:v>
                </c:pt>
                <c:pt idx="5">
                  <c:v>4.8322560787934732E-2</c:v>
                </c:pt>
                <c:pt idx="6">
                  <c:v>-6.8438446708895651E-2</c:v>
                </c:pt>
                <c:pt idx="12">
                  <c:v>2.8915577158467931E-2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FAB-498B-B4D5-3747117ADD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cat'!$C$8:$C$22</c:f>
              <c:numCache>
                <c:formatCode>#,##0</c:formatCode>
                <c:ptCount val="15"/>
                <c:pt idx="0">
                  <c:v>282601</c:v>
                </c:pt>
                <c:pt idx="1">
                  <c:v>250407</c:v>
                </c:pt>
                <c:pt idx="2">
                  <c:v>240044</c:v>
                </c:pt>
                <c:pt idx="3">
                  <c:v>229131</c:v>
                </c:pt>
                <c:pt idx="4">
                  <c:v>164258</c:v>
                </c:pt>
                <c:pt idx="5">
                  <c:v>103516</c:v>
                </c:pt>
                <c:pt idx="6">
                  <c:v>220415</c:v>
                </c:pt>
                <c:pt idx="7">
                  <c:v>232309</c:v>
                </c:pt>
                <c:pt idx="8">
                  <c:v>259661</c:v>
                </c:pt>
                <c:pt idx="9">
                  <c:v>252776</c:v>
                </c:pt>
                <c:pt idx="10">
                  <c:v>230263</c:v>
                </c:pt>
                <c:pt idx="11">
                  <c:v>203159</c:v>
                </c:pt>
                <c:pt idx="12">
                  <c:v>179324</c:v>
                </c:pt>
                <c:pt idx="13">
                  <c:v>163740</c:v>
                </c:pt>
                <c:pt idx="14">
                  <c:v>167027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D1-425D-8BC8-FF5DA40429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cat'!$D$8:$D$22</c:f>
              <c:numCache>
                <c:formatCode>0.0%</c:formatCode>
                <c:ptCount val="15"/>
                <c:pt idx="0">
                  <c:v>0.12856669342310711</c:v>
                </c:pt>
                <c:pt idx="1">
                  <c:v>4.3171251937144772E-2</c:v>
                </c:pt>
                <c:pt idx="2">
                  <c:v>4.7627776250267262E-2</c:v>
                </c:pt>
                <c:pt idx="3">
                  <c:v>0.39494575606667559</c:v>
                </c:pt>
                <c:pt idx="4">
                  <c:v>0.58678851578499946</c:v>
                </c:pt>
                <c:pt idx="5">
                  <c:v>-0.53035864165324509</c:v>
                </c:pt>
                <c:pt idx="6">
                  <c:v>-5.1199049541774122E-2</c:v>
                </c:pt>
                <c:pt idx="7">
                  <c:v>-0.10533734369042713</c:v>
                </c:pt>
                <c:pt idx="8">
                  <c:v>2.72375541981833E-2</c:v>
                </c:pt>
                <c:pt idx="9">
                  <c:v>9.7770809899983879E-2</c:v>
                </c:pt>
                <c:pt idx="10">
                  <c:v>0.1334127456819536</c:v>
                </c:pt>
                <c:pt idx="11">
                  <c:v>0.13291583948606989</c:v>
                </c:pt>
                <c:pt idx="12">
                  <c:v>9.5175277879565146E-2</c:v>
                </c:pt>
                <c:pt idx="13">
                  <c:v>-1.9679453022565241E-2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D1-425D-8BC8-FF5DA40429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cat'!$C$31:$C$45</c:f>
              <c:numCache>
                <c:formatCode>#,##0</c:formatCode>
                <c:ptCount val="15"/>
                <c:pt idx="0">
                  <c:v>282601</c:v>
                </c:pt>
                <c:pt idx="1">
                  <c:v>250407</c:v>
                </c:pt>
                <c:pt idx="2">
                  <c:v>240044</c:v>
                </c:pt>
                <c:pt idx="3">
                  <c:v>229131</c:v>
                </c:pt>
                <c:pt idx="4">
                  <c:v>164258</c:v>
                </c:pt>
                <c:pt idx="5">
                  <c:v>103516</c:v>
                </c:pt>
                <c:pt idx="6">
                  <c:v>220415</c:v>
                </c:pt>
                <c:pt idx="7">
                  <c:v>232309</c:v>
                </c:pt>
                <c:pt idx="8">
                  <c:v>259661</c:v>
                </c:pt>
                <c:pt idx="9">
                  <c:v>252776</c:v>
                </c:pt>
                <c:pt idx="10">
                  <c:v>230263</c:v>
                </c:pt>
                <c:pt idx="11">
                  <c:v>203159</c:v>
                </c:pt>
                <c:pt idx="12">
                  <c:v>179324</c:v>
                </c:pt>
                <c:pt idx="13">
                  <c:v>163740</c:v>
                </c:pt>
                <c:pt idx="14">
                  <c:v>167027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61D-4185-80A5-905CE91BF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cat'!$D$30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cat'!$B$31:$B$45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cat'!$D$31:$D$45</c:f>
              <c:numCache>
                <c:formatCode>0.0%</c:formatCode>
                <c:ptCount val="15"/>
                <c:pt idx="0">
                  <c:v>0.12856669342310711</c:v>
                </c:pt>
                <c:pt idx="1">
                  <c:v>4.3171251937144772E-2</c:v>
                </c:pt>
                <c:pt idx="2">
                  <c:v>4.7627776250267262E-2</c:v>
                </c:pt>
                <c:pt idx="3">
                  <c:v>0.39494575606667559</c:v>
                </c:pt>
                <c:pt idx="4">
                  <c:v>0.58678851578499946</c:v>
                </c:pt>
                <c:pt idx="5">
                  <c:v>-0.53035864165324509</c:v>
                </c:pt>
                <c:pt idx="6">
                  <c:v>-5.1199049541774122E-2</c:v>
                </c:pt>
                <c:pt idx="7">
                  <c:v>-0.10533734369042713</c:v>
                </c:pt>
                <c:pt idx="8">
                  <c:v>2.72375541981833E-2</c:v>
                </c:pt>
                <c:pt idx="9">
                  <c:v>9.7770809899983879E-2</c:v>
                </c:pt>
                <c:pt idx="10">
                  <c:v>0.1334127456819536</c:v>
                </c:pt>
                <c:pt idx="11">
                  <c:v>0.13291583948606989</c:v>
                </c:pt>
                <c:pt idx="12">
                  <c:v>9.5175277879565146E-2</c:v>
                </c:pt>
                <c:pt idx="13">
                  <c:v>-1.9679453022565241E-2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1D-4185-80A5-905CE91BF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'Viajeros entr evol anual TF cat'!$B$54:$B$68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cat'!$C$54:$C$68</c:f>
              <c:numCache>
                <c:formatCode>#,##0</c:formatCode>
                <c:ptCount val="15"/>
                <c:pt idx="0">
                  <c:v>186600</c:v>
                </c:pt>
                <c:pt idx="1">
                  <c:v>151188</c:v>
                </c:pt>
                <c:pt idx="2">
                  <c:v>145679</c:v>
                </c:pt>
                <c:pt idx="3">
                  <c:v>135697</c:v>
                </c:pt>
                <c:pt idx="4">
                  <c:v>102944</c:v>
                </c:pt>
                <c:pt idx="5">
                  <c:v>54788</c:v>
                </c:pt>
                <c:pt idx="6">
                  <c:v>110828</c:v>
                </c:pt>
                <c:pt idx="7">
                  <c:v>115399</c:v>
                </c:pt>
                <c:pt idx="8">
                  <c:v>101435</c:v>
                </c:pt>
                <c:pt idx="9">
                  <c:v>74718</c:v>
                </c:pt>
                <c:pt idx="10">
                  <c:v>68694</c:v>
                </c:pt>
                <c:pt idx="11">
                  <c:v>58915</c:v>
                </c:pt>
                <c:pt idx="12">
                  <c:v>47290</c:v>
                </c:pt>
                <c:pt idx="13">
                  <c:v>44490</c:v>
                </c:pt>
                <c:pt idx="14">
                  <c:v>35910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27-48AA-BA89-C70E7476A3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'Viajeros entr evol anual TF cat'!$D$53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'Viajeros entr evol anual TF cat'!$B$54:$B$68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'Viajeros entr evol anual TF cat'!$D$54:$D$68</c:f>
              <c:numCache>
                <c:formatCode>0.0%</c:formatCode>
                <c:ptCount val="15"/>
                <c:pt idx="0">
                  <c:v>0.23422493848718151</c:v>
                </c:pt>
                <c:pt idx="1">
                  <c:v>3.7816020153899954E-2</c:v>
                </c:pt>
                <c:pt idx="2">
                  <c:v>7.3560948289203232E-2</c:v>
                </c:pt>
                <c:pt idx="3">
                  <c:v>0.31816327323593407</c:v>
                </c:pt>
                <c:pt idx="4">
                  <c:v>0.87895159523983346</c:v>
                </c:pt>
                <c:pt idx="5">
                  <c:v>-0.50564839210307866</c:v>
                </c:pt>
                <c:pt idx="6">
                  <c:v>-3.9610395237393736E-2</c:v>
                </c:pt>
                <c:pt idx="7">
                  <c:v>0.13766451422092962</c:v>
                </c:pt>
                <c:pt idx="8">
                  <c:v>0.35757113413099928</c:v>
                </c:pt>
                <c:pt idx="9">
                  <c:v>8.7693248318630346E-2</c:v>
                </c:pt>
                <c:pt idx="10">
                  <c:v>0.16598489349062207</c:v>
                </c:pt>
                <c:pt idx="11">
                  <c:v>0.24582364136181001</c:v>
                </c:pt>
                <c:pt idx="12">
                  <c:v>6.2935491121600462E-2</c:v>
                </c:pt>
                <c:pt idx="13">
                  <c:v>0.23893065998329166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327-48AA-BA89-C70E7476A3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372732290890549E-2"/>
          <c:y val="0.28154949862036477"/>
          <c:w val="0.95795330741250462"/>
          <c:h val="0.396946766269600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 años '!$T$6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21C-48FF-B952-581BB4A2F1FA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721C-48FF-B952-581BB4A2F1FA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721C-48FF-B952-581BB4A2F1FA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721C-48FF-B952-581BB4A2F1FA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721C-48FF-B952-581BB4A2F1FA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721C-48FF-B952-581BB4A2F1FA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721C-48FF-B952-581BB4A2F1FA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721C-48FF-B952-581BB4A2F1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'!$T$8:$T$9,'viaj entrados lugar resid años '!$T$12:$T$20)</c:f>
              <c:numCache>
                <c:formatCode>#,##0</c:formatCode>
                <c:ptCount val="11"/>
                <c:pt idx="0">
                  <c:v>282601</c:v>
                </c:pt>
                <c:pt idx="1">
                  <c:v>178403</c:v>
                </c:pt>
                <c:pt idx="2">
                  <c:v>104198</c:v>
                </c:pt>
                <c:pt idx="3">
                  <c:v>10456</c:v>
                </c:pt>
                <c:pt idx="4">
                  <c:v>15417</c:v>
                </c:pt>
                <c:pt idx="5">
                  <c:v>9534</c:v>
                </c:pt>
                <c:pt idx="6">
                  <c:v>2766</c:v>
                </c:pt>
                <c:pt idx="7">
                  <c:v>2540</c:v>
                </c:pt>
                <c:pt idx="8">
                  <c:v>1128</c:v>
                </c:pt>
                <c:pt idx="9">
                  <c:v>2367</c:v>
                </c:pt>
                <c:pt idx="10">
                  <c:v>59990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21C-48FF-B952-581BB4A2F1FA}"/>
            </c:ext>
          </c:extLst>
        </c:ser>
        <c:ser>
          <c:idx val="1"/>
          <c:order val="1"/>
          <c:tx>
            <c:strRef>
              <c:f>'viaj entrados lugar resid años '!$U$6</c:f>
              <c:strCache>
                <c:ptCount val="1"/>
                <c:pt idx="0">
                  <c:v>var. 25/24</c:v>
                </c:pt>
              </c:strCache>
            </c:strRef>
          </c:tx>
          <c:invertIfNegative val="0"/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'!$U$8:$U$9,'viaj entrados lugar resid años '!$U$12:$U$20)</c:f>
              <c:numCache>
                <c:formatCode>0.0%</c:formatCode>
                <c:ptCount val="11"/>
                <c:pt idx="0">
                  <c:v>0.12856669342310711</c:v>
                </c:pt>
                <c:pt idx="1">
                  <c:v>0.14369695104751656</c:v>
                </c:pt>
                <c:pt idx="2">
                  <c:v>0.10357025598661296</c:v>
                </c:pt>
                <c:pt idx="3">
                  <c:v>-2.0790410189174047E-2</c:v>
                </c:pt>
                <c:pt idx="4">
                  <c:v>0.17319838672855936</c:v>
                </c:pt>
                <c:pt idx="5">
                  <c:v>0.11028298590893204</c:v>
                </c:pt>
                <c:pt idx="6">
                  <c:v>0.17402376910016981</c:v>
                </c:pt>
                <c:pt idx="7">
                  <c:v>0.21125417262756319</c:v>
                </c:pt>
                <c:pt idx="8">
                  <c:v>-0.15442278860569714</c:v>
                </c:pt>
                <c:pt idx="9">
                  <c:v>-5.3956834532374098E-2</c:v>
                </c:pt>
                <c:pt idx="10">
                  <c:v>0.11663316208770746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21C-48FF-B952-581BB4A2F1FA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721C-48FF-B952-581BB4A2F1FA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721C-48FF-B952-581BB4A2F1FA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721C-48FF-B952-581BB4A2F1FA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721C-48FF-B952-581BB4A2F1FA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721C-48FF-B952-581BB4A2F1FA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721C-48FF-B952-581BB4A2F1FA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721C-48FF-B952-581BB4A2F1FA}"/>
              </c:ext>
            </c:extLst>
          </c:dPt>
          <c:cat>
            <c:strRef>
              <c:f>('viaj entrados lugar resid años '!$N$8:$N$9,'viaj entrados lugar resid años '!$N$12:$N$20)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 años '!$W$8:$W$9,'viaj entrados lugar resid años '!$W$12:$W$20)</c:f>
              <c:numCache>
                <c:formatCode>0.0%</c:formatCode>
                <c:ptCount val="11"/>
                <c:pt idx="0">
                  <c:v>1</c:v>
                </c:pt>
                <c:pt idx="1">
                  <c:v>0.63128934434060746</c:v>
                </c:pt>
                <c:pt idx="2">
                  <c:v>0.36871065565939259</c:v>
                </c:pt>
                <c:pt idx="3">
                  <c:v>3.6999161361778624E-2</c:v>
                </c:pt>
                <c:pt idx="4">
                  <c:v>5.4553947084405224E-2</c:v>
                </c:pt>
                <c:pt idx="5">
                  <c:v>3.3736610981560576E-2</c:v>
                </c:pt>
                <c:pt idx="6">
                  <c:v>9.7876511406541373E-3</c:v>
                </c:pt>
                <c:pt idx="7">
                  <c:v>8.9879370561321437E-3</c:v>
                </c:pt>
                <c:pt idx="8">
                  <c:v>3.9914933068177392E-3</c:v>
                </c:pt>
                <c:pt idx="9">
                  <c:v>8.3757665401042458E-3</c:v>
                </c:pt>
                <c:pt idx="10">
                  <c:v>0.21227808818793989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721C-48FF-B952-581BB4A2F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8932313911888835"/>
          <c:w val="0.95795330741250462"/>
          <c:h val="0.42920762724208344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residencia'!$R$9</c:f>
              <c:strCache>
                <c:ptCount val="1"/>
                <c:pt idx="0">
                  <c:v>julio 2025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21E-4A22-A02B-1A5B11AFF2BB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21E-4A22-A02B-1A5B11AFF2B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21E-4A22-A02B-1A5B11AFF2B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21E-4A22-A02B-1A5B11AFF2B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21E-4A22-A02B-1A5B11AFF2BB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21E-4A22-A02B-1A5B11AFF2BB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21E-4A22-A02B-1A5B11AFF2BB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21E-4A22-A02B-1A5B11AFF2B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residencia'!$R$11:$R$23</c:f>
              <c:numCache>
                <c:formatCode>#,##0</c:formatCode>
                <c:ptCount val="13"/>
                <c:pt idx="0">
                  <c:v>23873</c:v>
                </c:pt>
                <c:pt idx="1">
                  <c:v>17909</c:v>
                </c:pt>
                <c:pt idx="2">
                  <c:v>11182</c:v>
                </c:pt>
                <c:pt idx="3">
                  <c:v>6727</c:v>
                </c:pt>
                <c:pt idx="4">
                  <c:v>5964</c:v>
                </c:pt>
                <c:pt idx="5">
                  <c:v>600</c:v>
                </c:pt>
                <c:pt idx="6">
                  <c:v>515</c:v>
                </c:pt>
                <c:pt idx="7">
                  <c:v>753</c:v>
                </c:pt>
                <c:pt idx="8">
                  <c:v>207</c:v>
                </c:pt>
                <c:pt idx="9">
                  <c:v>186</c:v>
                </c:pt>
                <c:pt idx="10">
                  <c:v>38</c:v>
                </c:pt>
                <c:pt idx="11">
                  <c:v>54</c:v>
                </c:pt>
                <c:pt idx="12">
                  <c:v>3611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21E-4A22-A02B-1A5B11AFF2BB}"/>
            </c:ext>
          </c:extLst>
        </c:ser>
        <c:ser>
          <c:idx val="1"/>
          <c:order val="1"/>
          <c:tx>
            <c:strRef>
              <c:f>'viaj entrados lugar residencia'!$S$9</c:f>
              <c:strCache>
                <c:ptCount val="1"/>
                <c:pt idx="0">
                  <c:v>julio 2026</c:v>
                </c:pt>
              </c:strCache>
            </c:strRef>
          </c:tx>
          <c:invertIfNegative val="0"/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residencia'!$S$11:$S$23</c:f>
              <c:numCache>
                <c:formatCode>0.0%</c:formatCode>
                <c:ptCount val="13"/>
                <c:pt idx="0">
                  <c:v>0.10359652366863914</c:v>
                </c:pt>
                <c:pt idx="1">
                  <c:v>9.8913910535681326E-2</c:v>
                </c:pt>
                <c:pt idx="2">
                  <c:v>0.13201052844705408</c:v>
                </c:pt>
                <c:pt idx="3">
                  <c:v>4.7982551799345741E-2</c:v>
                </c:pt>
                <c:pt idx="4">
                  <c:v>0.11790065604498601</c:v>
                </c:pt>
                <c:pt idx="5">
                  <c:v>-8.2644628099173278E-3</c:v>
                </c:pt>
                <c:pt idx="6">
                  <c:v>4.0404040404040442E-2</c:v>
                </c:pt>
                <c:pt idx="7">
                  <c:v>0.72706422018348627</c:v>
                </c:pt>
                <c:pt idx="8">
                  <c:v>0.41780821917808209</c:v>
                </c:pt>
                <c:pt idx="9">
                  <c:v>0.51219512195121952</c:v>
                </c:pt>
                <c:pt idx="10">
                  <c:v>-0.17391304347826086</c:v>
                </c:pt>
                <c:pt idx="11">
                  <c:v>0.14893617021276606</c:v>
                </c:pt>
                <c:pt idx="12">
                  <c:v>5.0625545533895755E-2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21E-4A22-A02B-1A5B11AFF2BB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421E-4A22-A02B-1A5B11AFF2BB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421E-4A22-A02B-1A5B11AFF2BB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421E-4A22-A02B-1A5B11AFF2BB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421E-4A22-A02B-1A5B11AFF2BB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421E-4A22-A02B-1A5B11AFF2BB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421E-4A22-A02B-1A5B11AFF2BB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421E-4A22-A02B-1A5B11AFF2BB}"/>
              </c:ext>
            </c:extLst>
          </c:dPt>
          <c:cat>
            <c:strRef>
              <c:f>'viaj entrados lugar residencia'!$M$11:$M$23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entrados lugar residencia'!$T$11:$T$23</c:f>
              <c:numCache>
                <c:formatCode>0.0%</c:formatCode>
                <c:ptCount val="13"/>
                <c:pt idx="0">
                  <c:v>1</c:v>
                </c:pt>
                <c:pt idx="1">
                  <c:v>0.75017802538432543</c:v>
                </c:pt>
                <c:pt idx="2">
                  <c:v>0.46839525824152811</c:v>
                </c:pt>
                <c:pt idx="3">
                  <c:v>0.28178276714279732</c:v>
                </c:pt>
                <c:pt idx="4">
                  <c:v>0.24982197461567462</c:v>
                </c:pt>
                <c:pt idx="5">
                  <c:v>2.5132995434172495E-2</c:v>
                </c:pt>
                <c:pt idx="6">
                  <c:v>2.1572487747664727E-2</c:v>
                </c:pt>
                <c:pt idx="7">
                  <c:v>3.1541909269886481E-2</c:v>
                </c:pt>
                <c:pt idx="8">
                  <c:v>8.6708834247895116E-3</c:v>
                </c:pt>
                <c:pt idx="9">
                  <c:v>7.7912285845934742E-3</c:v>
                </c:pt>
                <c:pt idx="10">
                  <c:v>1.5917563774975915E-3</c:v>
                </c:pt>
                <c:pt idx="11">
                  <c:v>2.2619695890755249E-3</c:v>
                </c:pt>
                <c:pt idx="12">
                  <c:v>0.15125874418799481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421E-4A22-A02B-1A5B11AFF2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1825749224955904"/>
          <c:w val="0.95795330741250462"/>
          <c:h val="0.38013011531453306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acu'!$V$7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34D-4691-A2C4-2E7D9ED720A2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34D-4691-A2C4-2E7D9ED720A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34D-4691-A2C4-2E7D9ED720A2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34D-4691-A2C4-2E7D9ED720A2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34D-4691-A2C4-2E7D9ED720A2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34D-4691-A2C4-2E7D9ED720A2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34D-4691-A2C4-2E7D9ED720A2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34D-4691-A2C4-2E7D9ED720A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acu'!$V$9:$V$10,'viaj entrados lugar residen acu'!$V$13:$V$21)</c:f>
              <c:numCache>
                <c:formatCode>#,##0</c:formatCode>
                <c:ptCount val="11"/>
                <c:pt idx="0">
                  <c:v>168537</c:v>
                </c:pt>
                <c:pt idx="1">
                  <c:v>105943</c:v>
                </c:pt>
                <c:pt idx="2">
                  <c:v>62594</c:v>
                </c:pt>
                <c:pt idx="3">
                  <c:v>5857</c:v>
                </c:pt>
                <c:pt idx="4">
                  <c:v>9137</c:v>
                </c:pt>
                <c:pt idx="5">
                  <c:v>5094</c:v>
                </c:pt>
                <c:pt idx="6">
                  <c:v>1751</c:v>
                </c:pt>
                <c:pt idx="7">
                  <c:v>1338</c:v>
                </c:pt>
                <c:pt idx="8">
                  <c:v>527</c:v>
                </c:pt>
                <c:pt idx="9">
                  <c:v>1273</c:v>
                </c:pt>
                <c:pt idx="10">
                  <c:v>37617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34D-4691-A2C4-2E7D9ED720A2}"/>
            </c:ext>
          </c:extLst>
        </c:ser>
        <c:ser>
          <c:idx val="1"/>
          <c:order val="1"/>
          <c:tx>
            <c:strRef>
              <c:f>'viaj entrados lugar residen acu'!$W$7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acu'!$W$9:$W$10,'viaj entrados lugar residen acu'!$W$13:$W$21)</c:f>
              <c:numCache>
                <c:formatCode>0.0%</c:formatCode>
                <c:ptCount val="11"/>
                <c:pt idx="0">
                  <c:v>2.3707132184117574E-2</c:v>
                </c:pt>
                <c:pt idx="1">
                  <c:v>2.9251945396369106E-3</c:v>
                </c:pt>
                <c:pt idx="2">
                  <c:v>6.0915254237288163E-2</c:v>
                </c:pt>
                <c:pt idx="3">
                  <c:v>-4.1250613848420326E-2</c:v>
                </c:pt>
                <c:pt idx="4">
                  <c:v>7.0784015000586065E-2</c:v>
                </c:pt>
                <c:pt idx="5">
                  <c:v>1.3126491646778149E-2</c:v>
                </c:pt>
                <c:pt idx="6">
                  <c:v>0.16345514950166118</c:v>
                </c:pt>
                <c:pt idx="7">
                  <c:v>1.9040365575019091E-2</c:v>
                </c:pt>
                <c:pt idx="8">
                  <c:v>-0.25459688826025462</c:v>
                </c:pt>
                <c:pt idx="9">
                  <c:v>-0.10225669957686878</c:v>
                </c:pt>
                <c:pt idx="10">
                  <c:v>9.3930845959228737E-2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34D-4691-A2C4-2E7D9ED720A2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34D-4691-A2C4-2E7D9ED720A2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34D-4691-A2C4-2E7D9ED720A2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F34D-4691-A2C4-2E7D9ED720A2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F34D-4691-A2C4-2E7D9ED720A2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F34D-4691-A2C4-2E7D9ED720A2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F34D-4691-A2C4-2E7D9ED720A2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F34D-4691-A2C4-2E7D9ED720A2}"/>
              </c:ext>
            </c:extLst>
          </c:dPt>
          <c:cat>
            <c:strRef>
              <c:f>('viaj entrados lugar residen acu'!$P$9:$P$10,'viaj entrados lugar residen acu'!$P$13:$P$21)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acu'!$Y$9:$Y$10,'viaj entrados lugar residen acu'!$Y$13:$Y$21)</c:f>
              <c:numCache>
                <c:formatCode>0.0%</c:formatCode>
                <c:ptCount val="11"/>
                <c:pt idx="0">
                  <c:v>1</c:v>
                </c:pt>
                <c:pt idx="1">
                  <c:v>0.62860380806588467</c:v>
                </c:pt>
                <c:pt idx="2">
                  <c:v>0.37139619193411538</c:v>
                </c:pt>
                <c:pt idx="3">
                  <c:v>3.4752012911111504E-2</c:v>
                </c:pt>
                <c:pt idx="4">
                  <c:v>5.4213614814551107E-2</c:v>
                </c:pt>
                <c:pt idx="5">
                  <c:v>3.0224817102476015E-2</c:v>
                </c:pt>
                <c:pt idx="6">
                  <c:v>1.0389410040525226E-2</c:v>
                </c:pt>
                <c:pt idx="7">
                  <c:v>7.9389095569518866E-3</c:v>
                </c:pt>
                <c:pt idx="8">
                  <c:v>3.1269098180221554E-3</c:v>
                </c:pt>
                <c:pt idx="9">
                  <c:v>7.5532375680117721E-3</c:v>
                </c:pt>
                <c:pt idx="10">
                  <c:v>0.2231972801224657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F34D-4691-A2C4-2E7D9ED720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442828298014062"/>
          <c:y val="0.20632289384879521"/>
          <c:w val="0.95795330741250462"/>
          <c:h val="0.38490395467483857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entrados lugar residen hot'!$T$7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0A9-4E25-B152-308A8FFB0603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0A9-4E25-B152-308A8FFB0603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F0A9-4E25-B152-308A8FFB0603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F0A9-4E25-B152-308A8FFB0603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0A9-4E25-B152-308A8FFB0603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F0A9-4E25-B152-308A8FFB0603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F0A9-4E25-B152-308A8FFB0603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F0A9-4E25-B152-308A8FFB060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hot'!$T$9:$T$10,'viaj entrados lugar residen hot'!$T$13:$T$21)</c:f>
              <c:numCache>
                <c:formatCode>#,##0</c:formatCode>
                <c:ptCount val="11"/>
                <c:pt idx="0">
                  <c:v>168537</c:v>
                </c:pt>
                <c:pt idx="1">
                  <c:v>105943</c:v>
                </c:pt>
                <c:pt idx="2">
                  <c:v>62594</c:v>
                </c:pt>
                <c:pt idx="3">
                  <c:v>5857</c:v>
                </c:pt>
                <c:pt idx="4">
                  <c:v>9137</c:v>
                </c:pt>
                <c:pt idx="5">
                  <c:v>5094</c:v>
                </c:pt>
                <c:pt idx="6">
                  <c:v>1751</c:v>
                </c:pt>
                <c:pt idx="7">
                  <c:v>1338</c:v>
                </c:pt>
                <c:pt idx="8">
                  <c:v>527</c:v>
                </c:pt>
                <c:pt idx="9">
                  <c:v>1273</c:v>
                </c:pt>
                <c:pt idx="10">
                  <c:v>37617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0A9-4E25-B152-308A8FFB0603}"/>
            </c:ext>
          </c:extLst>
        </c:ser>
        <c:ser>
          <c:idx val="1"/>
          <c:order val="1"/>
          <c:tx>
            <c:strRef>
              <c:f>'viaj entrados lugar residen hot'!$U$7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hot'!$U$9:$U$10,'viaj entrados lugar residen hot'!$U$13:$U$21)</c:f>
              <c:numCache>
                <c:formatCode>0.0%</c:formatCode>
                <c:ptCount val="11"/>
                <c:pt idx="0">
                  <c:v>2.3707132184117574E-2</c:v>
                </c:pt>
                <c:pt idx="1">
                  <c:v>2.9251945396369106E-3</c:v>
                </c:pt>
                <c:pt idx="2">
                  <c:v>6.0915254237288163E-2</c:v>
                </c:pt>
                <c:pt idx="3">
                  <c:v>-4.1250613848420326E-2</c:v>
                </c:pt>
                <c:pt idx="4">
                  <c:v>7.0784015000586065E-2</c:v>
                </c:pt>
                <c:pt idx="5">
                  <c:v>1.3126491646778149E-2</c:v>
                </c:pt>
                <c:pt idx="6">
                  <c:v>0.16345514950166118</c:v>
                </c:pt>
                <c:pt idx="7">
                  <c:v>1.9040365575019091E-2</c:v>
                </c:pt>
                <c:pt idx="8">
                  <c:v>-0.25459688826025462</c:v>
                </c:pt>
                <c:pt idx="9">
                  <c:v>-0.10225669957686878</c:v>
                </c:pt>
                <c:pt idx="10">
                  <c:v>9.3930845959228737E-2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F0A9-4E25-B152-308A8FFB0603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0A9-4E25-B152-308A8FFB0603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0A9-4E25-B152-308A8FFB0603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F0A9-4E25-B152-308A8FFB0603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F0A9-4E25-B152-308A8FFB0603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F0A9-4E25-B152-308A8FFB0603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F0A9-4E25-B152-308A8FFB0603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F0A9-4E25-B152-308A8FFB0603}"/>
              </c:ext>
            </c:extLst>
          </c:dPt>
          <c:cat>
            <c:strRef>
              <c:f>('viaj entrados lugar residen hot'!$N$9:$N$10,'viaj entrados lugar residen hot'!$N$13:$N$21)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entrados lugar residen hot'!$W$9:$W$10,'viaj entrados lugar residen hot'!$W$13:$W$21)</c:f>
              <c:numCache>
                <c:formatCode>0.0%</c:formatCode>
                <c:ptCount val="11"/>
                <c:pt idx="0">
                  <c:v>1</c:v>
                </c:pt>
                <c:pt idx="1">
                  <c:v>0.62860380806588467</c:v>
                </c:pt>
                <c:pt idx="2">
                  <c:v>0.37139619193411538</c:v>
                </c:pt>
                <c:pt idx="3">
                  <c:v>3.4752012911111504E-2</c:v>
                </c:pt>
                <c:pt idx="4">
                  <c:v>5.4213614814551107E-2</c:v>
                </c:pt>
                <c:pt idx="5">
                  <c:v>3.0224817102476015E-2</c:v>
                </c:pt>
                <c:pt idx="6">
                  <c:v>1.0389410040525226E-2</c:v>
                </c:pt>
                <c:pt idx="7">
                  <c:v>7.9389095569518866E-3</c:v>
                </c:pt>
                <c:pt idx="8">
                  <c:v>3.1269098180221554E-3</c:v>
                </c:pt>
                <c:pt idx="9">
                  <c:v>7.5532375680117721E-3</c:v>
                </c:pt>
                <c:pt idx="10">
                  <c:v>0.2231972801224657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F0A9-4E25-B152-308A8FFB06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958193173347365"/>
          <c:y val="0.16568511642811568"/>
          <c:w val="0.95795330741250462"/>
          <c:h val="0.5138002486531289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 lugar residen mes'!$P$8</c:f>
              <c:strCache>
                <c:ptCount val="1"/>
                <c:pt idx="0">
                  <c:v>julio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68E-4973-9F36-79EA14CB526B}"/>
              </c:ext>
            </c:extLst>
          </c:dPt>
          <c:dPt>
            <c:idx val="2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68E-4973-9F36-79EA14CB526B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68E-4973-9F36-79EA14CB526B}"/>
              </c:ext>
            </c:extLst>
          </c:dPt>
          <c:dPt>
            <c:idx val="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468E-4973-9F36-79EA14CB526B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468E-4973-9F36-79EA14CB526B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468E-4973-9F36-79EA14CB526B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468E-4973-9F36-79EA14CB526B}"/>
              </c:ext>
            </c:extLst>
          </c:dPt>
          <c:dPt>
            <c:idx val="1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468E-4973-9F36-79EA14CB526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mes'!$P$10,'viaj aloj lugar residen mes'!$P$11,'viaj aloj lugar residen mes'!$P$14:$P$22)</c:f>
              <c:numCache>
                <c:formatCode>#,##0</c:formatCode>
                <c:ptCount val="11"/>
                <c:pt idx="0">
                  <c:v>22538</c:v>
                </c:pt>
                <c:pt idx="1">
                  <c:v>17133</c:v>
                </c:pt>
                <c:pt idx="2">
                  <c:v>5405</c:v>
                </c:pt>
                <c:pt idx="3">
                  <c:v>600</c:v>
                </c:pt>
                <c:pt idx="4">
                  <c:v>446</c:v>
                </c:pt>
                <c:pt idx="5">
                  <c:v>626</c:v>
                </c:pt>
                <c:pt idx="6">
                  <c:v>209</c:v>
                </c:pt>
                <c:pt idx="7">
                  <c:v>171</c:v>
                </c:pt>
                <c:pt idx="8">
                  <c:v>13</c:v>
                </c:pt>
                <c:pt idx="9">
                  <c:v>57</c:v>
                </c:pt>
                <c:pt idx="10">
                  <c:v>3283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68E-4973-9F36-79EA14CB526B}"/>
            </c:ext>
          </c:extLst>
        </c:ser>
        <c:ser>
          <c:idx val="1"/>
          <c:order val="1"/>
          <c:tx>
            <c:strRef>
              <c:f>'viaj aloj lugar residen mes'!$Q$8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mes'!$Q$10,'viaj aloj lugar residen mes'!$Q$11,'viaj aloj lugar residen mes'!$Q$14:$Q$22)</c:f>
              <c:numCache>
                <c:formatCode>0.0%</c:formatCode>
                <c:ptCount val="11"/>
                <c:pt idx="0">
                  <c:v>-8.1244140067669446E-2</c:v>
                </c:pt>
                <c:pt idx="1">
                  <c:v>-6.4332914641472394E-2</c:v>
                </c:pt>
                <c:pt idx="2">
                  <c:v>-0.13102893890675238</c:v>
                </c:pt>
                <c:pt idx="3">
                  <c:v>-6.25E-2</c:v>
                </c:pt>
                <c:pt idx="4">
                  <c:v>-0.17100371747211895</c:v>
                </c:pt>
                <c:pt idx="5">
                  <c:v>-0.18169934640522878</c:v>
                </c:pt>
                <c:pt idx="6">
                  <c:v>-2.3364485981308358E-2</c:v>
                </c:pt>
                <c:pt idx="7">
                  <c:v>-9.9999999999999978E-2</c:v>
                </c:pt>
                <c:pt idx="8">
                  <c:v>-0.65789473684210531</c:v>
                </c:pt>
                <c:pt idx="9">
                  <c:v>5.555555555555558E-2</c:v>
                </c:pt>
                <c:pt idx="10">
                  <c:v>-0.13171118751652999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68E-4973-9F36-79EA14CB526B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468E-4973-9F36-79EA14CB526B}"/>
              </c:ext>
            </c:extLst>
          </c:dPt>
          <c:dPt>
            <c:idx val="3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468E-4973-9F36-79EA14CB526B}"/>
              </c:ext>
            </c:extLst>
          </c:dPt>
          <c:dPt>
            <c:idx val="4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468E-4973-9F36-79EA14CB526B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468E-4973-9F36-79EA14CB526B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468E-4973-9F36-79EA14CB526B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468E-4973-9F36-79EA14CB526B}"/>
              </c:ext>
            </c:extLst>
          </c:dPt>
          <c:dPt>
            <c:idx val="1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468E-4973-9F36-79EA14CB526B}"/>
              </c:ext>
            </c:extLst>
          </c:dPt>
          <c:cat>
            <c:strRef>
              <c:f>('viaj aloj lugar residen mes'!$K$10,'viaj aloj lugar residen mes'!$K$11,'viaj aloj lugar residen mes'!$K$14:$K$22)</c:f>
              <c:strCache>
                <c:ptCount val="11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Total residentes en el extranjero</c:v>
                </c:pt>
                <c:pt idx="3">
                  <c:v>Reino Unido</c:v>
                </c:pt>
                <c:pt idx="4">
                  <c:v>Alemania</c:v>
                </c:pt>
                <c:pt idx="5">
                  <c:v>Francia</c:v>
                </c:pt>
                <c:pt idx="6">
                  <c:v>Países Bajos</c:v>
                </c:pt>
                <c:pt idx="7">
                  <c:v>Bélgica</c:v>
                </c:pt>
                <c:pt idx="8">
                  <c:v>Dinamarca</c:v>
                </c:pt>
                <c:pt idx="9">
                  <c:v>Suecia</c:v>
                </c:pt>
                <c:pt idx="10">
                  <c:v>Otros países</c:v>
                </c:pt>
              </c:strCache>
            </c:strRef>
          </c:cat>
          <c:val>
            <c:numRef>
              <c:f>('viaj aloj lugar residen mes'!$R$10:$R$11,'viaj aloj lugar residen mes'!$R$14:$R$22)</c:f>
              <c:numCache>
                <c:formatCode>0.0%</c:formatCode>
                <c:ptCount val="11"/>
                <c:pt idx="0">
                  <c:v>1</c:v>
                </c:pt>
                <c:pt idx="1">
                  <c:v>0.76018280237820568</c:v>
                </c:pt>
                <c:pt idx="2">
                  <c:v>0.23981719762179429</c:v>
                </c:pt>
                <c:pt idx="3">
                  <c:v>2.6621705563936462E-2</c:v>
                </c:pt>
                <c:pt idx="4">
                  <c:v>1.9788801135859437E-2</c:v>
                </c:pt>
                <c:pt idx="5">
                  <c:v>2.7775312805040375E-2</c:v>
                </c:pt>
                <c:pt idx="6">
                  <c:v>9.2732274381045338E-3</c:v>
                </c:pt>
                <c:pt idx="7">
                  <c:v>7.5871860857218915E-3</c:v>
                </c:pt>
                <c:pt idx="8">
                  <c:v>5.7680362055195669E-4</c:v>
                </c:pt>
                <c:pt idx="9">
                  <c:v>2.5290620285739638E-3</c:v>
                </c:pt>
                <c:pt idx="10">
                  <c:v>0.14566509894400567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468E-4973-9F36-79EA14CB52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6551459596079018"/>
          <c:y val="0.19048427217274536"/>
          <c:w val="0.82247339202719794"/>
          <c:h val="0.40953170327393285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'viaj alojados lugar residen acu'!$U$7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rgbClr val="0071CE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95B4-4353-9CF5-9345F914BB75}"/>
              </c:ext>
            </c:extLst>
          </c:dPt>
          <c:dPt>
            <c:idx val="4"/>
            <c:invertIfNegative val="0"/>
            <c:bubble3D val="0"/>
            <c:spPr>
              <a:solidFill>
                <a:srgbClr val="0047BA">
                  <a:lumMod val="40000"/>
                  <a:lumOff val="60000"/>
                </a:srgb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95B4-4353-9CF5-9345F914BB75}"/>
              </c:ext>
            </c:extLst>
          </c:dPt>
          <c:dPt>
            <c:idx val="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5B4-4353-9CF5-9345F914BB75}"/>
              </c:ext>
            </c:extLst>
          </c:dPt>
          <c:dPt>
            <c:idx val="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95B4-4353-9CF5-9345F914BB75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95B4-4353-9CF5-9345F914BB75}"/>
              </c:ext>
            </c:extLst>
          </c:dPt>
          <c:dPt>
            <c:idx val="8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95B4-4353-9CF5-9345F914BB75}"/>
              </c:ext>
            </c:extLst>
          </c:dPt>
          <c:dPt>
            <c:idx val="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95B4-4353-9CF5-9345F914BB75}"/>
              </c:ext>
            </c:extLst>
          </c:dPt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9-95B4-4353-9CF5-9345F914BB7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shade val="95000"/>
                          <a:satMod val="105000"/>
                        </a:schemeClr>
                      </a:solidFill>
                      <a:prstDash val="solid"/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acu'!$U$9:$U$21</c:f>
              <c:numCache>
                <c:formatCode>#,##0</c:formatCode>
                <c:ptCount val="13"/>
                <c:pt idx="0">
                  <c:v>175021</c:v>
                </c:pt>
                <c:pt idx="1">
                  <c:v>108612</c:v>
                </c:pt>
                <c:pt idx="2">
                  <c:v>56385</c:v>
                </c:pt>
                <c:pt idx="3">
                  <c:v>52227</c:v>
                </c:pt>
                <c:pt idx="4">
                  <c:v>66409</c:v>
                </c:pt>
                <c:pt idx="5">
                  <c:v>6329</c:v>
                </c:pt>
                <c:pt idx="6">
                  <c:v>9833</c:v>
                </c:pt>
                <c:pt idx="7">
                  <c:v>5467</c:v>
                </c:pt>
                <c:pt idx="8">
                  <c:v>1872</c:v>
                </c:pt>
                <c:pt idx="9">
                  <c:v>1415</c:v>
                </c:pt>
                <c:pt idx="10">
                  <c:v>585</c:v>
                </c:pt>
                <c:pt idx="11">
                  <c:v>1319</c:v>
                </c:pt>
                <c:pt idx="12">
                  <c:v>39589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5B4-4353-9CF5-9345F914BB75}"/>
            </c:ext>
          </c:extLst>
        </c:ser>
        <c:ser>
          <c:idx val="1"/>
          <c:order val="1"/>
          <c:tx>
            <c:strRef>
              <c:f>'viaj alojados lugar residen acu'!$V$7</c:f>
              <c:strCache>
                <c:ptCount val="1"/>
                <c:pt idx="0">
                  <c:v>var. 26/25</c:v>
                </c:pt>
              </c:strCache>
            </c:strRef>
          </c:tx>
          <c:invertIfNegative val="0"/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acu'!$V$9:$V$21</c:f>
              <c:numCache>
                <c:formatCode>0.0%</c:formatCode>
                <c:ptCount val="13"/>
                <c:pt idx="0">
                  <c:v>2.0947325438954723E-2</c:v>
                </c:pt>
                <c:pt idx="1">
                  <c:v>-3.15723778405963E-3</c:v>
                </c:pt>
                <c:pt idx="2">
                  <c:v>-3.0764334588659903E-3</c:v>
                </c:pt>
                <c:pt idx="3">
                  <c:v>-3.2444605607191424E-3</c:v>
                </c:pt>
                <c:pt idx="4">
                  <c:v>6.2986202260140178E-2</c:v>
                </c:pt>
                <c:pt idx="5">
                  <c:v>-3.0632562413845932E-2</c:v>
                </c:pt>
                <c:pt idx="6">
                  <c:v>7.5820568927789989E-2</c:v>
                </c:pt>
                <c:pt idx="7">
                  <c:v>3.365475515220262E-2</c:v>
                </c:pt>
                <c:pt idx="8">
                  <c:v>0.15841584158415833</c:v>
                </c:pt>
                <c:pt idx="9">
                  <c:v>2.3138105567606759E-2</c:v>
                </c:pt>
                <c:pt idx="10">
                  <c:v>-0.24222797927461137</c:v>
                </c:pt>
                <c:pt idx="11">
                  <c:v>-8.7828492392807767E-2</c:v>
                </c:pt>
                <c:pt idx="12">
                  <c:v>9.0636105677842416E-2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5B4-4353-9CF5-9345F914BB75}"/>
            </c:ext>
          </c:extLst>
        </c:ser>
        <c:ser>
          <c:idx val="0"/>
          <c:order val="2"/>
          <c:tx>
            <c:v>cuota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95B4-4353-9CF5-9345F914BB75}"/>
              </c:ext>
            </c:extLst>
          </c:dPt>
          <c:dPt>
            <c:idx val="5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95B4-4353-9CF5-9345F914BB75}"/>
              </c:ext>
            </c:extLst>
          </c:dPt>
          <c:dPt>
            <c:idx val="6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95B4-4353-9CF5-9345F914BB75}"/>
              </c:ext>
            </c:extLst>
          </c:dPt>
          <c:dPt>
            <c:idx val="7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95B4-4353-9CF5-9345F914BB75}"/>
              </c:ext>
            </c:extLst>
          </c:dPt>
          <c:dPt>
            <c:idx val="8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5-95B4-4353-9CF5-9345F914BB75}"/>
              </c:ext>
            </c:extLst>
          </c:dPt>
          <c:dPt>
            <c:idx val="9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7-95B4-4353-9CF5-9345F914BB75}"/>
              </c:ext>
            </c:extLst>
          </c:dPt>
          <c:dPt>
            <c:idx val="12"/>
            <c:invertIfNegative val="0"/>
            <c:bubble3D val="0"/>
            <c:spPr>
              <a:noFill/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9-95B4-4353-9CF5-9345F914BB75}"/>
              </c:ext>
            </c:extLst>
          </c:dPt>
          <c:cat>
            <c:strRef>
              <c:f>'viaj alojados lugar residen acu'!$O$9:$O$21</c:f>
              <c:strCache>
                <c:ptCount val="13"/>
                <c:pt idx="0">
                  <c:v>Total lugares de residencia</c:v>
                </c:pt>
                <c:pt idx="1">
                  <c:v>Total residentes en España</c:v>
                </c:pt>
                <c:pt idx="2">
                  <c:v>Canarias</c:v>
                </c:pt>
                <c:pt idx="3">
                  <c:v>Península</c:v>
                </c:pt>
                <c:pt idx="4">
                  <c:v>Total residentes en el extranjero</c:v>
                </c:pt>
                <c:pt idx="5">
                  <c:v>Reino Unido</c:v>
                </c:pt>
                <c:pt idx="6">
                  <c:v>Alemania</c:v>
                </c:pt>
                <c:pt idx="7">
                  <c:v>Francia</c:v>
                </c:pt>
                <c:pt idx="8">
                  <c:v>Países Bajos</c:v>
                </c:pt>
                <c:pt idx="9">
                  <c:v>Bélgica</c:v>
                </c:pt>
                <c:pt idx="10">
                  <c:v>Dinamarca</c:v>
                </c:pt>
                <c:pt idx="11">
                  <c:v>Suecia</c:v>
                </c:pt>
                <c:pt idx="12">
                  <c:v>Otros países</c:v>
                </c:pt>
              </c:strCache>
            </c:strRef>
          </c:cat>
          <c:val>
            <c:numRef>
              <c:f>'viaj alojados lugar residen acu'!$X$9:$X$21</c:f>
              <c:numCache>
                <c:formatCode>0.0%</c:formatCode>
                <c:ptCount val="13"/>
                <c:pt idx="0">
                  <c:v>1</c:v>
                </c:pt>
                <c:pt idx="1">
                  <c:v>0.62056553213614363</c:v>
                </c:pt>
                <c:pt idx="2">
                  <c:v>0.32216134063912333</c:v>
                </c:pt>
                <c:pt idx="3">
                  <c:v>0.29840419149702035</c:v>
                </c:pt>
                <c:pt idx="4">
                  <c:v>0.37943446786385632</c:v>
                </c:pt>
                <c:pt idx="5">
                  <c:v>3.6161374920723799E-2</c:v>
                </c:pt>
                <c:pt idx="6">
                  <c:v>5.6181829609018345E-2</c:v>
                </c:pt>
                <c:pt idx="7">
                  <c:v>3.1236251649802024E-2</c:v>
                </c:pt>
                <c:pt idx="8">
                  <c:v>1.0695859354020374E-2</c:v>
                </c:pt>
                <c:pt idx="9">
                  <c:v>8.0847441164203157E-3</c:v>
                </c:pt>
                <c:pt idx="10">
                  <c:v>3.3424560481313671E-3</c:v>
                </c:pt>
                <c:pt idx="11">
                  <c:v>7.5362385085218347E-3</c:v>
                </c:pt>
                <c:pt idx="12">
                  <c:v>0.22619571365721827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A-95B4-4353-9CF5-9345F914BB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90"/>
        <c:axId val="1028800960"/>
        <c:axId val="1028781376"/>
      </c:barChart>
      <c:catAx>
        <c:axId val="1028800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noFill/>
            <a:prstDash val="solid"/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0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1028781376"/>
        <c:crosses val="autoZero"/>
        <c:auto val="1"/>
        <c:lblAlgn val="ctr"/>
        <c:lblOffset val="1000"/>
        <c:noMultiLvlLbl val="0"/>
      </c:catAx>
      <c:valAx>
        <c:axId val="1028781376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 w="9525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28800960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>
                <a:solidFill>
                  <a:schemeClr val="tx1">
                    <a:lumMod val="75000"/>
                  </a:schemeClr>
                </a:solidFill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legend>
      <c:legendPos val="t"/>
      <c:layout>
        <c:manualLayout>
          <c:xMode val="edge"/>
          <c:yMode val="edge"/>
          <c:x val="0.52640072965383577"/>
          <c:y val="8.3648622634156414E-2"/>
          <c:w val="0.4535126232430115"/>
          <c:h val="4.5455051334130935E-2"/>
        </c:manualLayout>
      </c:layout>
      <c:overlay val="0"/>
      <c:spPr>
        <a:noFill/>
        <a:ln w="3175"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0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2"/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C47-410E-8174-783C327C6347}"/>
              </c:ext>
            </c:extLst>
          </c:dPt>
          <c:val>
            <c:numRef>
              <c:f>'Pernoctaciones evol mensu TF'!$G$9:$G$21</c:f>
              <c:numCache>
                <c:formatCode>#,##0</c:formatCode>
                <c:ptCount val="13"/>
                <c:pt idx="0">
                  <c:v>61741</c:v>
                </c:pt>
                <c:pt idx="1">
                  <c:v>55957</c:v>
                </c:pt>
                <c:pt idx="2">
                  <c:v>58643</c:v>
                </c:pt>
                <c:pt idx="3">
                  <c:v>46133</c:v>
                </c:pt>
                <c:pt idx="4">
                  <c:v>38316</c:v>
                </c:pt>
                <c:pt idx="5">
                  <c:v>40074</c:v>
                </c:pt>
                <c:pt idx="6">
                  <c:v>45242</c:v>
                </c:pt>
                <c:pt idx="7">
                  <c:v>42595</c:v>
                </c:pt>
                <c:pt idx="8">
                  <c:v>43154</c:v>
                </c:pt>
                <c:pt idx="9">
                  <c:v>43124</c:v>
                </c:pt>
                <c:pt idx="10">
                  <c:v>53169</c:v>
                </c:pt>
                <c:pt idx="11">
                  <c:v>55215</c:v>
                </c:pt>
                <c:pt idx="12">
                  <c:v>583363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47-410E-8174-783C327C6347}"/>
            </c:ext>
          </c:extLst>
        </c:ser>
        <c:ser>
          <c:idx val="0"/>
          <c:order val="2"/>
          <c:tx>
            <c:strRef>
              <c:f>'Pernoctaciones evol mensu TF'!$I$7:$J$7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C47-410E-8174-783C327C6347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TF'!$I$9:$I$21</c:f>
              <c:numCache>
                <c:formatCode>#,##0</c:formatCode>
                <c:ptCount val="13"/>
                <c:pt idx="0">
                  <c:v>57077</c:v>
                </c:pt>
                <c:pt idx="1">
                  <c:v>52638</c:v>
                </c:pt>
                <c:pt idx="2">
                  <c:v>56752</c:v>
                </c:pt>
                <c:pt idx="3">
                  <c:v>47123</c:v>
                </c:pt>
                <c:pt idx="4">
                  <c:v>45582</c:v>
                </c:pt>
                <c:pt idx="5">
                  <c:v>42497</c:v>
                </c:pt>
                <c:pt idx="6">
                  <c:v>49837</c:v>
                </c:pt>
                <c:pt idx="7">
                  <c:v>49206</c:v>
                </c:pt>
                <c:pt idx="8">
                  <c:v>47691</c:v>
                </c:pt>
                <c:pt idx="9">
                  <c:v>55510</c:v>
                </c:pt>
                <c:pt idx="10">
                  <c:v>56612</c:v>
                </c:pt>
                <c:pt idx="11">
                  <c:v>54945</c:v>
                </c:pt>
                <c:pt idx="12">
                  <c:v>615470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C47-410E-8174-783C327C6347}"/>
            </c:ext>
          </c:extLst>
        </c:ser>
        <c:ser>
          <c:idx val="1"/>
          <c:order val="3"/>
          <c:tx>
            <c:strRef>
              <c:f>'Pernoctaciones evol mensu TF'!$K$7:$L$7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C47-410E-8174-783C327C634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C47-410E-8174-783C327C6347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TF'!$K$9:$K$21</c:f>
              <c:numCache>
                <c:formatCode>#,##0</c:formatCode>
                <c:ptCount val="13"/>
                <c:pt idx="0">
                  <c:v>61315</c:v>
                </c:pt>
                <c:pt idx="1">
                  <c:v>58411</c:v>
                </c:pt>
                <c:pt idx="2">
                  <c:v>59958</c:v>
                </c:pt>
                <c:pt idx="3">
                  <c:v>49320</c:v>
                </c:pt>
                <c:pt idx="4">
                  <c:v>46526</c:v>
                </c:pt>
                <c:pt idx="5">
                  <c:v>40082</c:v>
                </c:pt>
                <c:pt idx="6">
                  <c:v>47307</c:v>
                </c:pt>
                <c:pt idx="12">
                  <c:v>362919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C47-410E-8174-783C327C6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C47-410E-8174-783C327C634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40065</c:v>
                      </c:pt>
                      <c:pt idx="1">
                        <c:v>41909</c:v>
                      </c:pt>
                      <c:pt idx="2">
                        <c:v>47103</c:v>
                      </c:pt>
                      <c:pt idx="3">
                        <c:v>43531</c:v>
                      </c:pt>
                      <c:pt idx="4">
                        <c:v>44866</c:v>
                      </c:pt>
                      <c:pt idx="5">
                        <c:v>40470</c:v>
                      </c:pt>
                      <c:pt idx="6">
                        <c:v>43286</c:v>
                      </c:pt>
                      <c:pt idx="7">
                        <c:v>41695</c:v>
                      </c:pt>
                      <c:pt idx="8">
                        <c:v>42224</c:v>
                      </c:pt>
                      <c:pt idx="9">
                        <c:v>48246</c:v>
                      </c:pt>
                      <c:pt idx="10">
                        <c:v>56046</c:v>
                      </c:pt>
                      <c:pt idx="11">
                        <c:v>54058</c:v>
                      </c:pt>
                      <c:pt idx="12">
                        <c:v>543499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C47-410E-8174-783C327C634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C47-410E-8174-783C327C634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C47-410E-8174-783C327C634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C47-410E-8174-783C327C634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C47-410E-8174-783C327C634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C47-410E-8174-783C327C634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C47-410E-8174-783C327C634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C47-410E-8174-783C327C634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C47-410E-8174-783C327C634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C47-410E-8174-783C327C634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C47-410E-8174-783C327C634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C47-410E-8174-783C327C634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C47-410E-8174-783C327C634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C47-410E-8174-783C327C6347}"/>
              </c:ext>
            </c:extLst>
          </c:dPt>
          <c:cat>
            <c:strRef>
              <c:f>'Pernoctaciones evol mensu TF'!$B$9:$B$20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TF'!$L$9:$L$21</c:f>
              <c:numCache>
                <c:formatCode>0.0%</c:formatCode>
                <c:ptCount val="13"/>
                <c:pt idx="0">
                  <c:v>7.4250573786288632E-2</c:v>
                </c:pt>
                <c:pt idx="1">
                  <c:v>0.10967361981838208</c:v>
                </c:pt>
                <c:pt idx="2">
                  <c:v>5.6491401184099344E-2</c:v>
                </c:pt>
                <c:pt idx="3">
                  <c:v>4.6622668336056661E-2</c:v>
                </c:pt>
                <c:pt idx="4">
                  <c:v>2.0709929358079915E-2</c:v>
                </c:pt>
                <c:pt idx="5">
                  <c:v>-5.6827540767583562E-2</c:v>
                </c:pt>
                <c:pt idx="6">
                  <c:v>-5.0765495515380121E-2</c:v>
                </c:pt>
                <c:pt idx="12">
                  <c:v>3.2468862551421562E-2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C47-410E-8174-783C327C634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059-4C8C-A6EF-19EF21BDA2D9}"/>
              </c:ext>
            </c:extLst>
          </c:dPt>
          <c:val>
            <c:numRef>
              <c:f>'Pernoctaciones evol mensu TF'!$G$31:$G$43</c:f>
              <c:numCache>
                <c:formatCode>#,##0</c:formatCode>
                <c:ptCount val="13"/>
                <c:pt idx="0">
                  <c:v>24061</c:v>
                </c:pt>
                <c:pt idx="1">
                  <c:v>24442</c:v>
                </c:pt>
                <c:pt idx="2">
                  <c:v>25658</c:v>
                </c:pt>
                <c:pt idx="3">
                  <c:v>22776</c:v>
                </c:pt>
                <c:pt idx="4">
                  <c:v>24741</c:v>
                </c:pt>
                <c:pt idx="5">
                  <c:v>28215</c:v>
                </c:pt>
                <c:pt idx="6">
                  <c:v>30089</c:v>
                </c:pt>
                <c:pt idx="7">
                  <c:v>21698</c:v>
                </c:pt>
                <c:pt idx="8">
                  <c:v>27092</c:v>
                </c:pt>
                <c:pt idx="9">
                  <c:v>24346</c:v>
                </c:pt>
                <c:pt idx="10">
                  <c:v>29114</c:v>
                </c:pt>
                <c:pt idx="11">
                  <c:v>25047</c:v>
                </c:pt>
                <c:pt idx="12">
                  <c:v>307279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059-4C8C-A6EF-19EF21BDA2D9}"/>
            </c:ext>
          </c:extLst>
        </c:ser>
        <c:ser>
          <c:idx val="0"/>
          <c:order val="2"/>
          <c:tx>
            <c:strRef>
              <c:f>'Pernoctaciones evol mensu TF'!$I$29:$J$29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059-4C8C-A6EF-19EF21BDA2D9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TF'!$I$31:$I$43</c:f>
              <c:numCache>
                <c:formatCode>#,##0</c:formatCode>
                <c:ptCount val="13"/>
                <c:pt idx="0">
                  <c:v>23120</c:v>
                </c:pt>
                <c:pt idx="1">
                  <c:v>23832</c:v>
                </c:pt>
                <c:pt idx="2">
                  <c:v>30942</c:v>
                </c:pt>
                <c:pt idx="3">
                  <c:v>26836</c:v>
                </c:pt>
                <c:pt idx="4">
                  <c:v>30811</c:v>
                </c:pt>
                <c:pt idx="5">
                  <c:v>31150</c:v>
                </c:pt>
                <c:pt idx="6">
                  <c:v>32508</c:v>
                </c:pt>
                <c:pt idx="7">
                  <c:v>27336</c:v>
                </c:pt>
                <c:pt idx="8">
                  <c:v>30146</c:v>
                </c:pt>
                <c:pt idx="9">
                  <c:v>34755</c:v>
                </c:pt>
                <c:pt idx="10">
                  <c:v>27849</c:v>
                </c:pt>
                <c:pt idx="11">
                  <c:v>24284</c:v>
                </c:pt>
                <c:pt idx="12">
                  <c:v>343569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059-4C8C-A6EF-19EF21BDA2D9}"/>
            </c:ext>
          </c:extLst>
        </c:ser>
        <c:ser>
          <c:idx val="1"/>
          <c:order val="3"/>
          <c:tx>
            <c:strRef>
              <c:f>'Pernoctaciones evol mensu TF'!$K$29:$L$29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059-4C8C-A6EF-19EF21BDA2D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059-4C8C-A6EF-19EF21BDA2D9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TF'!$K$31:$K$43</c:f>
              <c:numCache>
                <c:formatCode>#,##0</c:formatCode>
                <c:ptCount val="13"/>
                <c:pt idx="0">
                  <c:v>24815</c:v>
                </c:pt>
                <c:pt idx="1">
                  <c:v>27785</c:v>
                </c:pt>
                <c:pt idx="2">
                  <c:v>29925</c:v>
                </c:pt>
                <c:pt idx="3">
                  <c:v>26892</c:v>
                </c:pt>
                <c:pt idx="4">
                  <c:v>30808</c:v>
                </c:pt>
                <c:pt idx="5">
                  <c:v>29046</c:v>
                </c:pt>
                <c:pt idx="6">
                  <c:v>31754</c:v>
                </c:pt>
                <c:pt idx="12">
                  <c:v>201025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059-4C8C-A6EF-19EF21BDA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059-4C8C-A6EF-19EF21BDA2D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15015</c:v>
                      </c:pt>
                      <c:pt idx="1">
                        <c:v>18026</c:v>
                      </c:pt>
                      <c:pt idx="2">
                        <c:v>22226</c:v>
                      </c:pt>
                      <c:pt idx="3">
                        <c:v>22061</c:v>
                      </c:pt>
                      <c:pt idx="4">
                        <c:v>26282</c:v>
                      </c:pt>
                      <c:pt idx="5">
                        <c:v>24304</c:v>
                      </c:pt>
                      <c:pt idx="6">
                        <c:v>25584</c:v>
                      </c:pt>
                      <c:pt idx="7">
                        <c:v>20956</c:v>
                      </c:pt>
                      <c:pt idx="8">
                        <c:v>24548</c:v>
                      </c:pt>
                      <c:pt idx="9">
                        <c:v>26214</c:v>
                      </c:pt>
                      <c:pt idx="10">
                        <c:v>25866</c:v>
                      </c:pt>
                      <c:pt idx="11">
                        <c:v>20862</c:v>
                      </c:pt>
                      <c:pt idx="12">
                        <c:v>271944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059-4C8C-A6EF-19EF21BDA2D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059-4C8C-A6EF-19EF21BDA2D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059-4C8C-A6EF-19EF21BDA2D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059-4C8C-A6EF-19EF21BDA2D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059-4C8C-A6EF-19EF21BDA2D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059-4C8C-A6EF-19EF21BDA2D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059-4C8C-A6EF-19EF21BDA2D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059-4C8C-A6EF-19EF21BDA2D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059-4C8C-A6EF-19EF21BDA2D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059-4C8C-A6EF-19EF21BDA2D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059-4C8C-A6EF-19EF21BDA2D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059-4C8C-A6EF-19EF21BDA2D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059-4C8C-A6EF-19EF21BDA2D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059-4C8C-A6EF-19EF21BDA2D9}"/>
              </c:ext>
            </c:extLst>
          </c:dPt>
          <c:cat>
            <c:strRef>
              <c:f>'Pernoctaciones evol mensu TF'!$B$31:$B$42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TF'!$L$31:$L$43</c:f>
              <c:numCache>
                <c:formatCode>0.0%</c:formatCode>
                <c:ptCount val="13"/>
                <c:pt idx="0">
                  <c:v>7.3313148788927363E-2</c:v>
                </c:pt>
                <c:pt idx="1">
                  <c:v>0.16586941926821086</c:v>
                </c:pt>
                <c:pt idx="2">
                  <c:v>-3.2867946480511945E-2</c:v>
                </c:pt>
                <c:pt idx="3">
                  <c:v>2.086749142942379E-3</c:v>
                </c:pt>
                <c:pt idx="4">
                  <c:v>-9.7367823180039004E-5</c:v>
                </c:pt>
                <c:pt idx="5">
                  <c:v>-6.7544141252006473E-2</c:v>
                </c:pt>
                <c:pt idx="6">
                  <c:v>-2.3194290636151083E-2</c:v>
                </c:pt>
                <c:pt idx="12">
                  <c:v>9.166712684300693E-3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059-4C8C-A6EF-19EF21BDA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F7F-4AAB-A624-E1C8E7F641D1}"/>
              </c:ext>
            </c:extLst>
          </c:dPt>
          <c:val>
            <c:numRef>
              <c:f>'Pernoctaciones evol mensu TF'!$G$53:$G$65</c:f>
              <c:numCache>
                <c:formatCode>#,##0</c:formatCode>
                <c:ptCount val="13"/>
                <c:pt idx="0">
                  <c:v>14987</c:v>
                </c:pt>
                <c:pt idx="1">
                  <c:v>15680</c:v>
                </c:pt>
                <c:pt idx="2">
                  <c:v>14870</c:v>
                </c:pt>
                <c:pt idx="3">
                  <c:v>13713</c:v>
                </c:pt>
                <c:pt idx="4">
                  <c:v>14967</c:v>
                </c:pt>
                <c:pt idx="5">
                  <c:v>15572</c:v>
                </c:pt>
                <c:pt idx="6">
                  <c:v>13056</c:v>
                </c:pt>
                <c:pt idx="7">
                  <c:v>9705</c:v>
                </c:pt>
                <c:pt idx="8">
                  <c:v>13601</c:v>
                </c:pt>
                <c:pt idx="9">
                  <c:v>16019</c:v>
                </c:pt>
                <c:pt idx="10">
                  <c:v>19160</c:v>
                </c:pt>
                <c:pt idx="11">
                  <c:v>13225</c:v>
                </c:pt>
                <c:pt idx="12">
                  <c:v>174555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F7F-4AAB-A624-E1C8E7F641D1}"/>
            </c:ext>
          </c:extLst>
        </c:ser>
        <c:ser>
          <c:idx val="0"/>
          <c:order val="2"/>
          <c:tx>
            <c:strRef>
              <c:f>'Pernoctaciones evol mensu TF'!$I$51:$J$51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F7F-4AAB-A624-E1C8E7F641D1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TF'!$I$53:$I$65</c:f>
              <c:numCache>
                <c:formatCode>#,##0</c:formatCode>
                <c:ptCount val="13"/>
                <c:pt idx="0">
                  <c:v>14862</c:v>
                </c:pt>
                <c:pt idx="1">
                  <c:v>14169</c:v>
                </c:pt>
                <c:pt idx="2">
                  <c:v>17196</c:v>
                </c:pt>
                <c:pt idx="3">
                  <c:v>14757</c:v>
                </c:pt>
                <c:pt idx="4">
                  <c:v>15736</c:v>
                </c:pt>
                <c:pt idx="5">
                  <c:v>15923</c:v>
                </c:pt>
                <c:pt idx="6">
                  <c:v>14081</c:v>
                </c:pt>
                <c:pt idx="7">
                  <c:v>13064</c:v>
                </c:pt>
                <c:pt idx="8">
                  <c:v>16617</c:v>
                </c:pt>
                <c:pt idx="9">
                  <c:v>21114</c:v>
                </c:pt>
                <c:pt idx="10">
                  <c:v>16450</c:v>
                </c:pt>
                <c:pt idx="11">
                  <c:v>11563</c:v>
                </c:pt>
                <c:pt idx="12">
                  <c:v>185532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F7F-4AAB-A624-E1C8E7F641D1}"/>
            </c:ext>
          </c:extLst>
        </c:ser>
        <c:ser>
          <c:idx val="1"/>
          <c:order val="3"/>
          <c:tx>
            <c:strRef>
              <c:f>'Pernoctaciones evol mensu TF'!$K$51:$L$51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F7F-4AAB-A624-E1C8E7F641D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F7F-4AAB-A624-E1C8E7F641D1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TF'!$K$53:$K$65</c:f>
              <c:numCache>
                <c:formatCode>#,##0</c:formatCode>
                <c:ptCount val="13"/>
                <c:pt idx="0">
                  <c:v>14171</c:v>
                </c:pt>
                <c:pt idx="1">
                  <c:v>15786</c:v>
                </c:pt>
                <c:pt idx="2">
                  <c:v>17728</c:v>
                </c:pt>
                <c:pt idx="3">
                  <c:v>13721</c:v>
                </c:pt>
                <c:pt idx="4">
                  <c:v>16820</c:v>
                </c:pt>
                <c:pt idx="5">
                  <c:v>15446</c:v>
                </c:pt>
                <c:pt idx="6">
                  <c:v>12044</c:v>
                </c:pt>
                <c:pt idx="12">
                  <c:v>105716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F7F-4AAB-A624-E1C8E7F64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F7F-4AAB-A624-E1C8E7F641D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9522</c:v>
                      </c:pt>
                      <c:pt idx="1">
                        <c:v>10749</c:v>
                      </c:pt>
                      <c:pt idx="2">
                        <c:v>12631</c:v>
                      </c:pt>
                      <c:pt idx="3">
                        <c:v>10238</c:v>
                      </c:pt>
                      <c:pt idx="4">
                        <c:v>14454</c:v>
                      </c:pt>
                      <c:pt idx="5">
                        <c:v>12044</c:v>
                      </c:pt>
                      <c:pt idx="6">
                        <c:v>12331</c:v>
                      </c:pt>
                      <c:pt idx="7">
                        <c:v>9178</c:v>
                      </c:pt>
                      <c:pt idx="8">
                        <c:v>13050</c:v>
                      </c:pt>
                      <c:pt idx="9">
                        <c:v>14337</c:v>
                      </c:pt>
                      <c:pt idx="10">
                        <c:v>14216</c:v>
                      </c:pt>
                      <c:pt idx="11">
                        <c:v>10635</c:v>
                      </c:pt>
                      <c:pt idx="12">
                        <c:v>143385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F7F-4AAB-A624-E1C8E7F641D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F7F-4AAB-A624-E1C8E7F641D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F7F-4AAB-A624-E1C8E7F641D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F7F-4AAB-A624-E1C8E7F641D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F7F-4AAB-A624-E1C8E7F641D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F7F-4AAB-A624-E1C8E7F641D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F7F-4AAB-A624-E1C8E7F641D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F7F-4AAB-A624-E1C8E7F641D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F7F-4AAB-A624-E1C8E7F641D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F7F-4AAB-A624-E1C8E7F641D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F7F-4AAB-A624-E1C8E7F641D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F7F-4AAB-A624-E1C8E7F641D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F7F-4AAB-A624-E1C8E7F641D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F7F-4AAB-A624-E1C8E7F641D1}"/>
              </c:ext>
            </c:extLst>
          </c:dPt>
          <c:cat>
            <c:strRef>
              <c:f>'Pernoctaciones evol mensu TF'!$B$53:$B$64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TF'!$L$53:$L$65</c:f>
              <c:numCache>
                <c:formatCode>0.0%</c:formatCode>
                <c:ptCount val="13"/>
                <c:pt idx="0">
                  <c:v>-4.6494415287309909E-2</c:v>
                </c:pt>
                <c:pt idx="1">
                  <c:v>0.11412237984331997</c:v>
                </c:pt>
                <c:pt idx="2">
                  <c:v>3.0937427308676435E-2</c:v>
                </c:pt>
                <c:pt idx="3">
                  <c:v>-7.0203970996815079E-2</c:v>
                </c:pt>
                <c:pt idx="4">
                  <c:v>6.8886629384850018E-2</c:v>
                </c:pt>
                <c:pt idx="5">
                  <c:v>-2.9956666457325865E-2</c:v>
                </c:pt>
                <c:pt idx="6">
                  <c:v>-0.14466302109225193</c:v>
                </c:pt>
                <c:pt idx="12">
                  <c:v>-9.4449233536973987E-3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F7F-4AAB-A624-E1C8E7F641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8620-402C-A775-62D9F396EB10}"/>
              </c:ext>
            </c:extLst>
          </c:dPt>
          <c:val>
            <c:numRef>
              <c:f>'Pernoctaciones evol mensu TF'!$G$75:$G$87</c:f>
              <c:numCache>
                <c:formatCode>#,##0</c:formatCode>
                <c:ptCount val="13"/>
                <c:pt idx="0">
                  <c:v>9074</c:v>
                </c:pt>
                <c:pt idx="1">
                  <c:v>8762</c:v>
                </c:pt>
                <c:pt idx="2">
                  <c:v>10788</c:v>
                </c:pt>
                <c:pt idx="3">
                  <c:v>9063</c:v>
                </c:pt>
                <c:pt idx="4">
                  <c:v>9774</c:v>
                </c:pt>
                <c:pt idx="5">
                  <c:v>12643</c:v>
                </c:pt>
                <c:pt idx="6">
                  <c:v>17033</c:v>
                </c:pt>
                <c:pt idx="7">
                  <c:v>11993</c:v>
                </c:pt>
                <c:pt idx="8">
                  <c:v>13491</c:v>
                </c:pt>
                <c:pt idx="9">
                  <c:v>8327</c:v>
                </c:pt>
                <c:pt idx="10">
                  <c:v>9954</c:v>
                </c:pt>
                <c:pt idx="11">
                  <c:v>11822</c:v>
                </c:pt>
                <c:pt idx="12">
                  <c:v>132724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620-402C-A775-62D9F396EB10}"/>
            </c:ext>
          </c:extLst>
        </c:ser>
        <c:ser>
          <c:idx val="0"/>
          <c:order val="2"/>
          <c:tx>
            <c:strRef>
              <c:f>'Pernoctaciones evol mensu TF'!$I$73:$J$73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8620-402C-A775-62D9F396EB1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TF'!$I$75:$I$87</c:f>
              <c:numCache>
                <c:formatCode>#,##0</c:formatCode>
                <c:ptCount val="13"/>
                <c:pt idx="0">
                  <c:v>8258</c:v>
                </c:pt>
                <c:pt idx="1">
                  <c:v>9663</c:v>
                </c:pt>
                <c:pt idx="2">
                  <c:v>13746</c:v>
                </c:pt>
                <c:pt idx="3">
                  <c:v>12079</c:v>
                </c:pt>
                <c:pt idx="4">
                  <c:v>15075</c:v>
                </c:pt>
                <c:pt idx="5">
                  <c:v>15227</c:v>
                </c:pt>
                <c:pt idx="6">
                  <c:v>18427</c:v>
                </c:pt>
                <c:pt idx="7">
                  <c:v>14272</c:v>
                </c:pt>
                <c:pt idx="8">
                  <c:v>13529</c:v>
                </c:pt>
                <c:pt idx="9">
                  <c:v>13641</c:v>
                </c:pt>
                <c:pt idx="10">
                  <c:v>11399</c:v>
                </c:pt>
                <c:pt idx="11">
                  <c:v>12721</c:v>
                </c:pt>
                <c:pt idx="12">
                  <c:v>158037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8620-402C-A775-62D9F396EB10}"/>
            </c:ext>
          </c:extLst>
        </c:ser>
        <c:ser>
          <c:idx val="1"/>
          <c:order val="3"/>
          <c:tx>
            <c:strRef>
              <c:f>'Pernoctaciones evol mensu TF'!$K$73:$L$73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8620-402C-A775-62D9F396EB1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8620-402C-A775-62D9F396EB10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TF'!$K$75:$K$87</c:f>
              <c:numCache>
                <c:formatCode>#,##0</c:formatCode>
                <c:ptCount val="13"/>
                <c:pt idx="0">
                  <c:v>10644</c:v>
                </c:pt>
                <c:pt idx="1">
                  <c:v>11999</c:v>
                </c:pt>
                <c:pt idx="2">
                  <c:v>12197</c:v>
                </c:pt>
                <c:pt idx="3">
                  <c:v>13171</c:v>
                </c:pt>
                <c:pt idx="4">
                  <c:v>13988</c:v>
                </c:pt>
                <c:pt idx="5">
                  <c:v>13600</c:v>
                </c:pt>
                <c:pt idx="6">
                  <c:v>19710</c:v>
                </c:pt>
                <c:pt idx="12">
                  <c:v>95309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8620-402C-A775-62D9F396EB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8620-402C-A775-62D9F396EB1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5493</c:v>
                      </c:pt>
                      <c:pt idx="1">
                        <c:v>7277</c:v>
                      </c:pt>
                      <c:pt idx="2">
                        <c:v>9595</c:v>
                      </c:pt>
                      <c:pt idx="3">
                        <c:v>11823</c:v>
                      </c:pt>
                      <c:pt idx="4">
                        <c:v>11828</c:v>
                      </c:pt>
                      <c:pt idx="5">
                        <c:v>12260</c:v>
                      </c:pt>
                      <c:pt idx="6">
                        <c:v>13253</c:v>
                      </c:pt>
                      <c:pt idx="7">
                        <c:v>11778</c:v>
                      </c:pt>
                      <c:pt idx="8">
                        <c:v>11498</c:v>
                      </c:pt>
                      <c:pt idx="9">
                        <c:v>11877</c:v>
                      </c:pt>
                      <c:pt idx="10">
                        <c:v>11650</c:v>
                      </c:pt>
                      <c:pt idx="11">
                        <c:v>10227</c:v>
                      </c:pt>
                      <c:pt idx="12">
                        <c:v>128559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8620-402C-A775-62D9F396EB1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8620-402C-A775-62D9F396EB1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8620-402C-A775-62D9F396EB1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8620-402C-A775-62D9F396EB1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8620-402C-A775-62D9F396EB1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8620-402C-A775-62D9F396EB1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8620-402C-A775-62D9F396EB1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8620-402C-A775-62D9F396EB1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8620-402C-A775-62D9F396EB1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8620-402C-A775-62D9F396EB1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8620-402C-A775-62D9F396EB1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8620-402C-A775-62D9F396EB1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8620-402C-A775-62D9F396EB1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8620-402C-A775-62D9F396EB10}"/>
              </c:ext>
            </c:extLst>
          </c:dPt>
          <c:cat>
            <c:strRef>
              <c:f>'Pernoctaciones evol mensu TF'!$B$75:$B$86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TF'!$L$75:$L$87</c:f>
              <c:numCache>
                <c:formatCode>0.0%</c:formatCode>
                <c:ptCount val="13"/>
                <c:pt idx="0">
                  <c:v>0.28893194478081852</c:v>
                </c:pt>
                <c:pt idx="1">
                  <c:v>0.2417468695022249</c:v>
                </c:pt>
                <c:pt idx="2">
                  <c:v>-0.11268732722246466</c:v>
                </c:pt>
                <c:pt idx="3">
                  <c:v>9.040483483732098E-2</c:v>
                </c:pt>
                <c:pt idx="4">
                  <c:v>-7.2106135986732989E-2</c:v>
                </c:pt>
                <c:pt idx="5">
                  <c:v>-0.10684967491955077</c:v>
                </c:pt>
                <c:pt idx="6">
                  <c:v>6.9626092147392349E-2</c:v>
                </c:pt>
                <c:pt idx="12">
                  <c:v>3.0646120573127877E-2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8620-402C-A775-62D9F396EB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3D9-420B-B594-A4D16A61CC15}"/>
              </c:ext>
            </c:extLst>
          </c:dPt>
          <c:val>
            <c:numRef>
              <c:f>'Pernoctaciones evol mensu TF'!$G$97:$G$109</c:f>
              <c:numCache>
                <c:formatCode>#,##0</c:formatCode>
                <c:ptCount val="13"/>
                <c:pt idx="0">
                  <c:v>37680</c:v>
                </c:pt>
                <c:pt idx="1">
                  <c:v>31515</c:v>
                </c:pt>
                <c:pt idx="2">
                  <c:v>32985</c:v>
                </c:pt>
                <c:pt idx="3">
                  <c:v>23357</c:v>
                </c:pt>
                <c:pt idx="4">
                  <c:v>13575</c:v>
                </c:pt>
                <c:pt idx="5">
                  <c:v>11859</c:v>
                </c:pt>
                <c:pt idx="6">
                  <c:v>15153</c:v>
                </c:pt>
                <c:pt idx="7">
                  <c:v>20897</c:v>
                </c:pt>
                <c:pt idx="8">
                  <c:v>16062</c:v>
                </c:pt>
                <c:pt idx="9">
                  <c:v>18778</c:v>
                </c:pt>
                <c:pt idx="10">
                  <c:v>24055</c:v>
                </c:pt>
                <c:pt idx="11">
                  <c:v>30168</c:v>
                </c:pt>
                <c:pt idx="12">
                  <c:v>276084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3D9-420B-B594-A4D16A61CC15}"/>
            </c:ext>
          </c:extLst>
        </c:ser>
        <c:ser>
          <c:idx val="0"/>
          <c:order val="2"/>
          <c:tx>
            <c:strRef>
              <c:f>'Pernoctaciones evol mensu TF'!$I$95:$J$95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3D9-420B-B594-A4D16A61CC1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TF'!$I$97:$I$109</c:f>
              <c:numCache>
                <c:formatCode>#,##0</c:formatCode>
                <c:ptCount val="13"/>
                <c:pt idx="0">
                  <c:v>33957</c:v>
                </c:pt>
                <c:pt idx="1">
                  <c:v>28806</c:v>
                </c:pt>
                <c:pt idx="2">
                  <c:v>25810</c:v>
                </c:pt>
                <c:pt idx="3">
                  <c:v>20287</c:v>
                </c:pt>
                <c:pt idx="4">
                  <c:v>14771</c:v>
                </c:pt>
                <c:pt idx="5">
                  <c:v>11347</c:v>
                </c:pt>
                <c:pt idx="6">
                  <c:v>17329</c:v>
                </c:pt>
                <c:pt idx="7">
                  <c:v>21870</c:v>
                </c:pt>
                <c:pt idx="8">
                  <c:v>17545</c:v>
                </c:pt>
                <c:pt idx="9">
                  <c:v>20755</c:v>
                </c:pt>
                <c:pt idx="10">
                  <c:v>28763</c:v>
                </c:pt>
                <c:pt idx="11">
                  <c:v>30661</c:v>
                </c:pt>
                <c:pt idx="12">
                  <c:v>271901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3D9-420B-B594-A4D16A61CC15}"/>
            </c:ext>
          </c:extLst>
        </c:ser>
        <c:ser>
          <c:idx val="1"/>
          <c:order val="3"/>
          <c:tx>
            <c:strRef>
              <c:f>'Pernoctaciones evol mensu TF'!$K$95:$L$95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3D9-420B-B594-A4D16A61CC1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3D9-420B-B594-A4D16A61CC1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TF'!$K$97:$K$109</c:f>
              <c:numCache>
                <c:formatCode>#,##0</c:formatCode>
                <c:ptCount val="13"/>
                <c:pt idx="0">
                  <c:v>36500</c:v>
                </c:pt>
                <c:pt idx="1">
                  <c:v>30626</c:v>
                </c:pt>
                <c:pt idx="2">
                  <c:v>30033</c:v>
                </c:pt>
                <c:pt idx="3">
                  <c:v>22428</c:v>
                </c:pt>
                <c:pt idx="4">
                  <c:v>15718</c:v>
                </c:pt>
                <c:pt idx="5">
                  <c:v>11036</c:v>
                </c:pt>
                <c:pt idx="6">
                  <c:v>15553</c:v>
                </c:pt>
                <c:pt idx="12">
                  <c:v>161894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3D9-420B-B594-A4D16A61C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3D9-420B-B594-A4D16A61CC1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TF'!$C$97:$C$109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25050</c:v>
                      </c:pt>
                      <c:pt idx="1">
                        <c:v>23883</c:v>
                      </c:pt>
                      <c:pt idx="2">
                        <c:v>24877</c:v>
                      </c:pt>
                      <c:pt idx="3">
                        <c:v>21470</c:v>
                      </c:pt>
                      <c:pt idx="4">
                        <c:v>18584</c:v>
                      </c:pt>
                      <c:pt idx="5">
                        <c:v>16166</c:v>
                      </c:pt>
                      <c:pt idx="6">
                        <c:v>17702</c:v>
                      </c:pt>
                      <c:pt idx="7">
                        <c:v>20739</c:v>
                      </c:pt>
                      <c:pt idx="8">
                        <c:v>17676</c:v>
                      </c:pt>
                      <c:pt idx="9">
                        <c:v>22032</c:v>
                      </c:pt>
                      <c:pt idx="10">
                        <c:v>30180</c:v>
                      </c:pt>
                      <c:pt idx="11">
                        <c:v>33196</c:v>
                      </c:pt>
                      <c:pt idx="12">
                        <c:v>271555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3D9-420B-B594-A4D16A61CC1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TF'!$L$96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3D9-420B-B594-A4D16A61CC1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3D9-420B-B594-A4D16A61CC1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3D9-420B-B594-A4D16A61CC1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3D9-420B-B594-A4D16A61CC1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3D9-420B-B594-A4D16A61CC1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3D9-420B-B594-A4D16A61CC1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3D9-420B-B594-A4D16A61CC1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3D9-420B-B594-A4D16A61CC1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3D9-420B-B594-A4D16A61CC1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3D9-420B-B594-A4D16A61CC1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3D9-420B-B594-A4D16A61CC1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3D9-420B-B594-A4D16A61CC1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3D9-420B-B594-A4D16A61CC15}"/>
              </c:ext>
            </c:extLst>
          </c:dPt>
          <c:cat>
            <c:strRef>
              <c:f>'Pernoctaciones evol mensu TF'!$B$97:$B$108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TF'!$L$97:$L$109</c:f>
              <c:numCache>
                <c:formatCode>0.0%</c:formatCode>
                <c:ptCount val="13"/>
                <c:pt idx="0">
                  <c:v>7.4888829990870764E-2</c:v>
                </c:pt>
                <c:pt idx="1">
                  <c:v>6.3181281677428203E-2</c:v>
                </c:pt>
                <c:pt idx="2">
                  <c:v>0.163618752421542</c:v>
                </c:pt>
                <c:pt idx="3">
                  <c:v>0.10553556464731106</c:v>
                </c:pt>
                <c:pt idx="4">
                  <c:v>6.41121115699681E-2</c:v>
                </c:pt>
                <c:pt idx="5">
                  <c:v>-2.7408125495725688E-2</c:v>
                </c:pt>
                <c:pt idx="6">
                  <c:v>-0.10248716025160132</c:v>
                </c:pt>
                <c:pt idx="12">
                  <c:v>6.2945235609656702E-2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3D9-420B-B594-A4D16A61CC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4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EF4-40F8-AC2E-19FCDDDC4F2F}"/>
              </c:ext>
            </c:extLst>
          </c:dPt>
          <c:val>
            <c:numRef>
              <c:f>'Pernoctaciones evol mensu TF'!$G$119:$G$131</c:f>
              <c:numCache>
                <c:formatCode>#,##0</c:formatCode>
                <c:ptCount val="13"/>
                <c:pt idx="0">
                  <c:v>5783</c:v>
                </c:pt>
                <c:pt idx="1">
                  <c:v>4850</c:v>
                </c:pt>
                <c:pt idx="2">
                  <c:v>4425</c:v>
                </c:pt>
                <c:pt idx="3">
                  <c:v>3860</c:v>
                </c:pt>
                <c:pt idx="4">
                  <c:v>1323</c:v>
                </c:pt>
                <c:pt idx="5">
                  <c:v>1481</c:v>
                </c:pt>
                <c:pt idx="6">
                  <c:v>1886</c:v>
                </c:pt>
                <c:pt idx="7">
                  <c:v>2083</c:v>
                </c:pt>
                <c:pt idx="8">
                  <c:v>2363</c:v>
                </c:pt>
                <c:pt idx="9">
                  <c:v>1826</c:v>
                </c:pt>
                <c:pt idx="10">
                  <c:v>2998</c:v>
                </c:pt>
                <c:pt idx="11">
                  <c:v>3685</c:v>
                </c:pt>
                <c:pt idx="12">
                  <c:v>36563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EF4-40F8-AC2E-19FCDDDC4F2F}"/>
            </c:ext>
          </c:extLst>
        </c:ser>
        <c:ser>
          <c:idx val="0"/>
          <c:order val="2"/>
          <c:tx>
            <c:strRef>
              <c:f>'Pernoctaciones evol mensu TF'!$I$117:$J$117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EF4-40F8-AC2E-19FCDDDC4F2F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TF'!$I$119:$I$131</c:f>
              <c:numCache>
                <c:formatCode>#,##0</c:formatCode>
                <c:ptCount val="13"/>
                <c:pt idx="0">
                  <c:v>5027</c:v>
                </c:pt>
                <c:pt idx="1">
                  <c:v>3993</c:v>
                </c:pt>
                <c:pt idx="2">
                  <c:v>2634</c:v>
                </c:pt>
                <c:pt idx="3">
                  <c:v>2256</c:v>
                </c:pt>
                <c:pt idx="4">
                  <c:v>1409</c:v>
                </c:pt>
                <c:pt idx="5">
                  <c:v>1064</c:v>
                </c:pt>
                <c:pt idx="6">
                  <c:v>1824</c:v>
                </c:pt>
                <c:pt idx="7">
                  <c:v>2058</c:v>
                </c:pt>
                <c:pt idx="8">
                  <c:v>1851</c:v>
                </c:pt>
                <c:pt idx="9">
                  <c:v>2377</c:v>
                </c:pt>
                <c:pt idx="10">
                  <c:v>3191</c:v>
                </c:pt>
                <c:pt idx="11">
                  <c:v>3162</c:v>
                </c:pt>
                <c:pt idx="12">
                  <c:v>30846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EF4-40F8-AC2E-19FCDDDC4F2F}"/>
            </c:ext>
          </c:extLst>
        </c:ser>
        <c:ser>
          <c:idx val="1"/>
          <c:order val="3"/>
          <c:tx>
            <c:strRef>
              <c:f>'Pernoctaciones evol mensu TF'!$K$117:$L$117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EF4-40F8-AC2E-19FCDDDC4F2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EF4-40F8-AC2E-19FCDDDC4F2F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TF'!$K$119:$K$131</c:f>
              <c:numCache>
                <c:formatCode>#,##0</c:formatCode>
                <c:ptCount val="13"/>
                <c:pt idx="0">
                  <c:v>5155</c:v>
                </c:pt>
                <c:pt idx="1">
                  <c:v>3705</c:v>
                </c:pt>
                <c:pt idx="2">
                  <c:v>3012</c:v>
                </c:pt>
                <c:pt idx="3">
                  <c:v>1895</c:v>
                </c:pt>
                <c:pt idx="4">
                  <c:v>1591</c:v>
                </c:pt>
                <c:pt idx="5">
                  <c:v>1062</c:v>
                </c:pt>
                <c:pt idx="6">
                  <c:v>1744</c:v>
                </c:pt>
                <c:pt idx="12">
                  <c:v>18164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EF4-40F8-AC2E-19FCDDDC4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EF4-40F8-AC2E-19FCDDDC4F2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TF'!$C$119:$C$131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3433</c:v>
                      </c:pt>
                      <c:pt idx="1">
                        <c:v>3574</c:v>
                      </c:pt>
                      <c:pt idx="2">
                        <c:v>3753</c:v>
                      </c:pt>
                      <c:pt idx="3">
                        <c:v>2500</c:v>
                      </c:pt>
                      <c:pt idx="4">
                        <c:v>1644</c:v>
                      </c:pt>
                      <c:pt idx="5">
                        <c:v>2004</c:v>
                      </c:pt>
                      <c:pt idx="6">
                        <c:v>2896</c:v>
                      </c:pt>
                      <c:pt idx="7">
                        <c:v>2814</c:v>
                      </c:pt>
                      <c:pt idx="8">
                        <c:v>2245</c:v>
                      </c:pt>
                      <c:pt idx="9">
                        <c:v>2166</c:v>
                      </c:pt>
                      <c:pt idx="10">
                        <c:v>2705</c:v>
                      </c:pt>
                      <c:pt idx="11">
                        <c:v>3617</c:v>
                      </c:pt>
                      <c:pt idx="12">
                        <c:v>33351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EF4-40F8-AC2E-19FCDDDC4F2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TF'!$L$118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EF4-40F8-AC2E-19FCDDDC4F2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EF4-40F8-AC2E-19FCDDDC4F2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EF4-40F8-AC2E-19FCDDDC4F2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EF4-40F8-AC2E-19FCDDDC4F2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EF4-40F8-AC2E-19FCDDDC4F2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EF4-40F8-AC2E-19FCDDDC4F2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EF4-40F8-AC2E-19FCDDDC4F2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EF4-40F8-AC2E-19FCDDDC4F2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EF4-40F8-AC2E-19FCDDDC4F2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EF4-40F8-AC2E-19FCDDDC4F2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EF4-40F8-AC2E-19FCDDDC4F2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EF4-40F8-AC2E-19FCDDDC4F2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EF4-40F8-AC2E-19FCDDDC4F2F}"/>
              </c:ext>
            </c:extLst>
          </c:dPt>
          <c:cat>
            <c:strRef>
              <c:f>'Pernoctaciones evol mensu TF'!$B$119:$B$130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TF'!$L$119:$L$131</c:f>
              <c:numCache>
                <c:formatCode>0.0%</c:formatCode>
                <c:ptCount val="13"/>
                <c:pt idx="0">
                  <c:v>2.5462502486572447E-2</c:v>
                </c:pt>
                <c:pt idx="1">
                  <c:v>-7.2126220886551518E-2</c:v>
                </c:pt>
                <c:pt idx="2">
                  <c:v>0.14350797266514803</c:v>
                </c:pt>
                <c:pt idx="3">
                  <c:v>-0.16001773049645385</c:v>
                </c:pt>
                <c:pt idx="4">
                  <c:v>0.12916962384669972</c:v>
                </c:pt>
                <c:pt idx="5">
                  <c:v>-1.879699248120259E-3</c:v>
                </c:pt>
                <c:pt idx="6">
                  <c:v>-4.3859649122807043E-2</c:v>
                </c:pt>
                <c:pt idx="12">
                  <c:v>-2.3617290053276063E-3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EF4-40F8-AC2E-19FCDDDC4F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DC9-4681-BDF4-31635D8DA438}"/>
              </c:ext>
            </c:extLst>
          </c:dPt>
          <c:val>
            <c:numRef>
              <c:f>'Pernoctaciones evol mensu TF'!$G$141:$G$153</c:f>
              <c:numCache>
                <c:formatCode>#,##0</c:formatCode>
                <c:ptCount val="13"/>
                <c:pt idx="0">
                  <c:v>6113</c:v>
                </c:pt>
                <c:pt idx="1">
                  <c:v>4561</c:v>
                </c:pt>
                <c:pt idx="2">
                  <c:v>5795</c:v>
                </c:pt>
                <c:pt idx="3">
                  <c:v>3013</c:v>
                </c:pt>
                <c:pt idx="4">
                  <c:v>1644</c:v>
                </c:pt>
                <c:pt idx="5">
                  <c:v>1312</c:v>
                </c:pt>
                <c:pt idx="6">
                  <c:v>1547</c:v>
                </c:pt>
                <c:pt idx="7">
                  <c:v>2860</c:v>
                </c:pt>
                <c:pt idx="8">
                  <c:v>2212</c:v>
                </c:pt>
                <c:pt idx="9">
                  <c:v>3189</c:v>
                </c:pt>
                <c:pt idx="10">
                  <c:v>4412</c:v>
                </c:pt>
                <c:pt idx="11">
                  <c:v>5549</c:v>
                </c:pt>
                <c:pt idx="12">
                  <c:v>42207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C9-4681-BDF4-31635D8DA438}"/>
            </c:ext>
          </c:extLst>
        </c:ser>
        <c:ser>
          <c:idx val="0"/>
          <c:order val="2"/>
          <c:tx>
            <c:strRef>
              <c:f>'Pernoctaciones evol mensu TF'!$I$139:$J$139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DC9-4681-BDF4-31635D8DA438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TF'!$I$141:$I$153</c:f>
              <c:numCache>
                <c:formatCode>#,##0</c:formatCode>
                <c:ptCount val="13"/>
                <c:pt idx="0">
                  <c:v>6090</c:v>
                </c:pt>
                <c:pt idx="1">
                  <c:v>4794</c:v>
                </c:pt>
                <c:pt idx="2">
                  <c:v>4786</c:v>
                </c:pt>
                <c:pt idx="3">
                  <c:v>3430</c:v>
                </c:pt>
                <c:pt idx="4">
                  <c:v>1465</c:v>
                </c:pt>
                <c:pt idx="5">
                  <c:v>1070</c:v>
                </c:pt>
                <c:pt idx="6">
                  <c:v>1778</c:v>
                </c:pt>
                <c:pt idx="7">
                  <c:v>1868</c:v>
                </c:pt>
                <c:pt idx="8">
                  <c:v>2325</c:v>
                </c:pt>
                <c:pt idx="9">
                  <c:v>3369</c:v>
                </c:pt>
                <c:pt idx="10">
                  <c:v>5689</c:v>
                </c:pt>
                <c:pt idx="11">
                  <c:v>6551</c:v>
                </c:pt>
                <c:pt idx="12">
                  <c:v>43215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DC9-4681-BDF4-31635D8DA438}"/>
            </c:ext>
          </c:extLst>
        </c:ser>
        <c:ser>
          <c:idx val="1"/>
          <c:order val="3"/>
          <c:tx>
            <c:strRef>
              <c:f>'Pernoctaciones evol mensu TF'!$K$139:$L$139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DC9-4681-BDF4-31635D8DA438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DC9-4681-BDF4-31635D8DA438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TF'!$K$141:$K$153</c:f>
              <c:numCache>
                <c:formatCode>#,##0</c:formatCode>
                <c:ptCount val="13"/>
                <c:pt idx="0">
                  <c:v>6577</c:v>
                </c:pt>
                <c:pt idx="1">
                  <c:v>4906</c:v>
                </c:pt>
                <c:pt idx="2">
                  <c:v>6053</c:v>
                </c:pt>
                <c:pt idx="3">
                  <c:v>3278</c:v>
                </c:pt>
                <c:pt idx="4">
                  <c:v>1355</c:v>
                </c:pt>
                <c:pt idx="5">
                  <c:v>1158</c:v>
                </c:pt>
                <c:pt idx="6">
                  <c:v>1365</c:v>
                </c:pt>
                <c:pt idx="12">
                  <c:v>24692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DC9-4681-BDF4-31635D8DA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DC9-4681-BDF4-31635D8DA438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TF'!$C$141:$C$153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3311</c:v>
                      </c:pt>
                      <c:pt idx="1">
                        <c:v>2826</c:v>
                      </c:pt>
                      <c:pt idx="2">
                        <c:v>3699</c:v>
                      </c:pt>
                      <c:pt idx="3">
                        <c:v>3126</c:v>
                      </c:pt>
                      <c:pt idx="4">
                        <c:v>1982</c:v>
                      </c:pt>
                      <c:pt idx="5">
                        <c:v>1123</c:v>
                      </c:pt>
                      <c:pt idx="6">
                        <c:v>2041</c:v>
                      </c:pt>
                      <c:pt idx="7">
                        <c:v>1858</c:v>
                      </c:pt>
                      <c:pt idx="8">
                        <c:v>1872</c:v>
                      </c:pt>
                      <c:pt idx="9">
                        <c:v>2874</c:v>
                      </c:pt>
                      <c:pt idx="10">
                        <c:v>4788</c:v>
                      </c:pt>
                      <c:pt idx="11">
                        <c:v>5291</c:v>
                      </c:pt>
                      <c:pt idx="12">
                        <c:v>34791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DC9-4681-BDF4-31635D8DA438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TF'!$L$140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DC9-4681-BDF4-31635D8DA438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DC9-4681-BDF4-31635D8DA438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DC9-4681-BDF4-31635D8DA438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DC9-4681-BDF4-31635D8DA438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DC9-4681-BDF4-31635D8DA438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DC9-4681-BDF4-31635D8DA438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DC9-4681-BDF4-31635D8DA438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DC9-4681-BDF4-31635D8DA438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DC9-4681-BDF4-31635D8DA438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DC9-4681-BDF4-31635D8DA438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DC9-4681-BDF4-31635D8DA438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DC9-4681-BDF4-31635D8DA438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DC9-4681-BDF4-31635D8DA438}"/>
              </c:ext>
            </c:extLst>
          </c:dPt>
          <c:cat>
            <c:strRef>
              <c:f>'Pernoctaciones evol mensu TF'!$B$141:$B$152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TF'!$L$141:$L$153</c:f>
              <c:numCache>
                <c:formatCode>0.0%</c:formatCode>
                <c:ptCount val="13"/>
                <c:pt idx="0">
                  <c:v>7.9967159277504196E-2</c:v>
                </c:pt>
                <c:pt idx="1">
                  <c:v>2.336253650396336E-2</c:v>
                </c:pt>
                <c:pt idx="2">
                  <c:v>0.26473046385290422</c:v>
                </c:pt>
                <c:pt idx="3">
                  <c:v>-4.4314868804664731E-2</c:v>
                </c:pt>
                <c:pt idx="4">
                  <c:v>-7.5085324232081918E-2</c:v>
                </c:pt>
                <c:pt idx="5">
                  <c:v>8.2242990654205705E-2</c:v>
                </c:pt>
                <c:pt idx="6">
                  <c:v>-0.23228346456692917</c:v>
                </c:pt>
                <c:pt idx="12">
                  <c:v>5.4627770896510386E-2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DC9-4681-BDF4-31635D8DA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8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FCDC-4D2D-A46E-2643E72122EF}"/>
              </c:ext>
            </c:extLst>
          </c:dPt>
          <c:val>
            <c:numRef>
              <c:f>'Pernoctaciones evol mensu TF'!$G$163:$G$175</c:f>
              <c:numCache>
                <c:formatCode>#,##0</c:formatCode>
                <c:ptCount val="13"/>
                <c:pt idx="0">
                  <c:v>2931</c:v>
                </c:pt>
                <c:pt idx="1">
                  <c:v>2461</c:v>
                </c:pt>
                <c:pt idx="2">
                  <c:v>2820</c:v>
                </c:pt>
                <c:pt idx="3">
                  <c:v>1879</c:v>
                </c:pt>
                <c:pt idx="4">
                  <c:v>1952</c:v>
                </c:pt>
                <c:pt idx="5">
                  <c:v>905</c:v>
                </c:pt>
                <c:pt idx="6">
                  <c:v>1293</c:v>
                </c:pt>
                <c:pt idx="7">
                  <c:v>3962</c:v>
                </c:pt>
                <c:pt idx="8">
                  <c:v>2078</c:v>
                </c:pt>
                <c:pt idx="9">
                  <c:v>1740</c:v>
                </c:pt>
                <c:pt idx="10">
                  <c:v>2022</c:v>
                </c:pt>
                <c:pt idx="11">
                  <c:v>2368</c:v>
                </c:pt>
                <c:pt idx="12">
                  <c:v>26411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CDC-4D2D-A46E-2643E72122EF}"/>
            </c:ext>
          </c:extLst>
        </c:ser>
        <c:ser>
          <c:idx val="0"/>
          <c:order val="2"/>
          <c:tx>
            <c:strRef>
              <c:f>'Pernoctaciones evol mensu TF'!$I$161:$J$161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FCDC-4D2D-A46E-2643E72122EF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TF'!$I$163:$I$175</c:f>
              <c:numCache>
                <c:formatCode>#,##0</c:formatCode>
                <c:ptCount val="13"/>
                <c:pt idx="0">
                  <c:v>2278</c:v>
                </c:pt>
                <c:pt idx="1">
                  <c:v>2576</c:v>
                </c:pt>
                <c:pt idx="2">
                  <c:v>1872</c:v>
                </c:pt>
                <c:pt idx="3">
                  <c:v>1696</c:v>
                </c:pt>
                <c:pt idx="4">
                  <c:v>1563</c:v>
                </c:pt>
                <c:pt idx="5">
                  <c:v>923</c:v>
                </c:pt>
                <c:pt idx="6">
                  <c:v>2132</c:v>
                </c:pt>
                <c:pt idx="7">
                  <c:v>4537</c:v>
                </c:pt>
                <c:pt idx="8">
                  <c:v>2364</c:v>
                </c:pt>
                <c:pt idx="9">
                  <c:v>2322</c:v>
                </c:pt>
                <c:pt idx="10">
                  <c:v>2548</c:v>
                </c:pt>
                <c:pt idx="11">
                  <c:v>2523</c:v>
                </c:pt>
                <c:pt idx="12">
                  <c:v>27334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CDC-4D2D-A46E-2643E72122EF}"/>
            </c:ext>
          </c:extLst>
        </c:ser>
        <c:ser>
          <c:idx val="1"/>
          <c:order val="3"/>
          <c:tx>
            <c:strRef>
              <c:f>'Pernoctaciones evol mensu TF'!$K$161:$L$161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FCDC-4D2D-A46E-2643E72122E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FCDC-4D2D-A46E-2643E72122EF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TF'!$K$163:$K$175</c:f>
              <c:numCache>
                <c:formatCode>#,##0</c:formatCode>
                <c:ptCount val="13"/>
                <c:pt idx="0">
                  <c:v>2451</c:v>
                </c:pt>
                <c:pt idx="1">
                  <c:v>2363</c:v>
                </c:pt>
                <c:pt idx="2">
                  <c:v>2514</c:v>
                </c:pt>
                <c:pt idx="3">
                  <c:v>2103</c:v>
                </c:pt>
                <c:pt idx="4">
                  <c:v>1535</c:v>
                </c:pt>
                <c:pt idx="5">
                  <c:v>1064</c:v>
                </c:pt>
                <c:pt idx="6">
                  <c:v>2189</c:v>
                </c:pt>
                <c:pt idx="12">
                  <c:v>14219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FCDC-4D2D-A46E-2643E7212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FCDC-4D2D-A46E-2643E72122E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TF'!$C$163:$C$175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1697</c:v>
                      </c:pt>
                      <c:pt idx="1">
                        <c:v>2208</c:v>
                      </c:pt>
                      <c:pt idx="2">
                        <c:v>2855</c:v>
                      </c:pt>
                      <c:pt idx="3">
                        <c:v>1982</c:v>
                      </c:pt>
                      <c:pt idx="4">
                        <c:v>1622</c:v>
                      </c:pt>
                      <c:pt idx="5">
                        <c:v>1049</c:v>
                      </c:pt>
                      <c:pt idx="6">
                        <c:v>1231</c:v>
                      </c:pt>
                      <c:pt idx="7">
                        <c:v>2883</c:v>
                      </c:pt>
                      <c:pt idx="8">
                        <c:v>1536</c:v>
                      </c:pt>
                      <c:pt idx="9">
                        <c:v>1751</c:v>
                      </c:pt>
                      <c:pt idx="10">
                        <c:v>2465</c:v>
                      </c:pt>
                      <c:pt idx="11">
                        <c:v>2595</c:v>
                      </c:pt>
                      <c:pt idx="12">
                        <c:v>23874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FCDC-4D2D-A46E-2643E72122E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TF'!$L$162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FCDC-4D2D-A46E-2643E72122E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FCDC-4D2D-A46E-2643E72122E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FCDC-4D2D-A46E-2643E72122E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FCDC-4D2D-A46E-2643E72122E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FCDC-4D2D-A46E-2643E72122E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FCDC-4D2D-A46E-2643E72122E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FCDC-4D2D-A46E-2643E72122E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FCDC-4D2D-A46E-2643E72122E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FCDC-4D2D-A46E-2643E72122E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FCDC-4D2D-A46E-2643E72122E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FCDC-4D2D-A46E-2643E72122E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FCDC-4D2D-A46E-2643E72122E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FCDC-4D2D-A46E-2643E72122EF}"/>
              </c:ext>
            </c:extLst>
          </c:dPt>
          <c:cat>
            <c:strRef>
              <c:f>'Pernoctaciones evol mensu TF'!$B$163:$B$174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TF'!$L$163:$L$175</c:f>
              <c:numCache>
                <c:formatCode>0.0%</c:formatCode>
                <c:ptCount val="13"/>
                <c:pt idx="0">
                  <c:v>7.5943810359964781E-2</c:v>
                </c:pt>
                <c:pt idx="1">
                  <c:v>-8.2686335403726718E-2</c:v>
                </c:pt>
                <c:pt idx="2">
                  <c:v>0.34294871794871784</c:v>
                </c:pt>
                <c:pt idx="3">
                  <c:v>0.23997641509433953</c:v>
                </c:pt>
                <c:pt idx="4">
                  <c:v>-1.7914267434421038E-2</c:v>
                </c:pt>
                <c:pt idx="5">
                  <c:v>0.15276273022751896</c:v>
                </c:pt>
                <c:pt idx="6">
                  <c:v>2.6735459662288852E-2</c:v>
                </c:pt>
                <c:pt idx="12">
                  <c:v>9.0414110429447803E-2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FCDC-4D2D-A46E-2643E72122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805-4EDD-8281-9DF3E4FD3B75}"/>
              </c:ext>
            </c:extLst>
          </c:dPt>
          <c:val>
            <c:numRef>
              <c:f>'Pernoctaciones evol mensu TF'!$G$185:$G$197</c:f>
              <c:numCache>
                <c:formatCode>#,##0</c:formatCode>
                <c:ptCount val="13"/>
                <c:pt idx="0">
                  <c:v>812</c:v>
                </c:pt>
                <c:pt idx="1">
                  <c:v>580</c:v>
                </c:pt>
                <c:pt idx="2">
                  <c:v>529</c:v>
                </c:pt>
                <c:pt idx="3">
                  <c:v>432</c:v>
                </c:pt>
                <c:pt idx="4">
                  <c:v>367</c:v>
                </c:pt>
                <c:pt idx="5">
                  <c:v>272</c:v>
                </c:pt>
                <c:pt idx="6">
                  <c:v>325</c:v>
                </c:pt>
                <c:pt idx="7">
                  <c:v>463</c:v>
                </c:pt>
                <c:pt idx="8">
                  <c:v>439</c:v>
                </c:pt>
                <c:pt idx="9">
                  <c:v>369</c:v>
                </c:pt>
                <c:pt idx="10">
                  <c:v>532</c:v>
                </c:pt>
                <c:pt idx="11">
                  <c:v>812</c:v>
                </c:pt>
                <c:pt idx="12">
                  <c:v>5932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05-4EDD-8281-9DF3E4FD3B75}"/>
            </c:ext>
          </c:extLst>
        </c:ser>
        <c:ser>
          <c:idx val="0"/>
          <c:order val="2"/>
          <c:tx>
            <c:strRef>
              <c:f>'Pernoctaciones evol mensu TF'!$I$183:$J$183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805-4EDD-8281-9DF3E4FD3B7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TF'!$I$185:$I$197</c:f>
              <c:numCache>
                <c:formatCode>#,##0</c:formatCode>
                <c:ptCount val="13"/>
                <c:pt idx="0">
                  <c:v>915</c:v>
                </c:pt>
                <c:pt idx="1">
                  <c:v>590</c:v>
                </c:pt>
                <c:pt idx="2">
                  <c:v>411</c:v>
                </c:pt>
                <c:pt idx="3">
                  <c:v>296</c:v>
                </c:pt>
                <c:pt idx="4">
                  <c:v>397</c:v>
                </c:pt>
                <c:pt idx="5">
                  <c:v>281</c:v>
                </c:pt>
                <c:pt idx="6">
                  <c:v>634</c:v>
                </c:pt>
                <c:pt idx="7">
                  <c:v>603</c:v>
                </c:pt>
                <c:pt idx="8">
                  <c:v>481</c:v>
                </c:pt>
                <c:pt idx="9">
                  <c:v>582</c:v>
                </c:pt>
                <c:pt idx="10">
                  <c:v>838</c:v>
                </c:pt>
                <c:pt idx="11">
                  <c:v>797</c:v>
                </c:pt>
                <c:pt idx="12">
                  <c:v>6825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805-4EDD-8281-9DF3E4FD3B75}"/>
            </c:ext>
          </c:extLst>
        </c:ser>
        <c:ser>
          <c:idx val="1"/>
          <c:order val="3"/>
          <c:tx>
            <c:strRef>
              <c:f>'Pernoctaciones evol mensu TF'!$K$183:$L$183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805-4EDD-8281-9DF3E4FD3B7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805-4EDD-8281-9DF3E4FD3B75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TF'!$K$185:$K$197</c:f>
              <c:numCache>
                <c:formatCode>#,##0</c:formatCode>
                <c:ptCount val="13"/>
                <c:pt idx="0">
                  <c:v>624</c:v>
                </c:pt>
                <c:pt idx="1">
                  <c:v>753</c:v>
                </c:pt>
                <c:pt idx="2">
                  <c:v>738</c:v>
                </c:pt>
                <c:pt idx="3">
                  <c:v>568</c:v>
                </c:pt>
                <c:pt idx="4">
                  <c:v>341</c:v>
                </c:pt>
                <c:pt idx="5">
                  <c:v>221</c:v>
                </c:pt>
                <c:pt idx="6">
                  <c:v>483</c:v>
                </c:pt>
                <c:pt idx="12">
                  <c:v>3728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805-4EDD-8281-9DF3E4FD3B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805-4EDD-8281-9DF3E4FD3B7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TF'!$C$185:$C$197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413</c:v>
                      </c:pt>
                      <c:pt idx="1">
                        <c:v>507</c:v>
                      </c:pt>
                      <c:pt idx="2">
                        <c:v>494</c:v>
                      </c:pt>
                      <c:pt idx="3">
                        <c:v>320</c:v>
                      </c:pt>
                      <c:pt idx="4">
                        <c:v>325</c:v>
                      </c:pt>
                      <c:pt idx="5">
                        <c:v>268</c:v>
                      </c:pt>
                      <c:pt idx="6">
                        <c:v>406</c:v>
                      </c:pt>
                      <c:pt idx="7">
                        <c:v>450</c:v>
                      </c:pt>
                      <c:pt idx="8">
                        <c:v>243</c:v>
                      </c:pt>
                      <c:pt idx="9">
                        <c:v>291</c:v>
                      </c:pt>
                      <c:pt idx="10">
                        <c:v>472</c:v>
                      </c:pt>
                      <c:pt idx="11">
                        <c:v>662</c:v>
                      </c:pt>
                      <c:pt idx="12">
                        <c:v>4851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805-4EDD-8281-9DF3E4FD3B7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TF'!$L$184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805-4EDD-8281-9DF3E4FD3B7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805-4EDD-8281-9DF3E4FD3B7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805-4EDD-8281-9DF3E4FD3B7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805-4EDD-8281-9DF3E4FD3B7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805-4EDD-8281-9DF3E4FD3B7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805-4EDD-8281-9DF3E4FD3B7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805-4EDD-8281-9DF3E4FD3B7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805-4EDD-8281-9DF3E4FD3B7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805-4EDD-8281-9DF3E4FD3B7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805-4EDD-8281-9DF3E4FD3B7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805-4EDD-8281-9DF3E4FD3B7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805-4EDD-8281-9DF3E4FD3B7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805-4EDD-8281-9DF3E4FD3B75}"/>
              </c:ext>
            </c:extLst>
          </c:dPt>
          <c:cat>
            <c:strRef>
              <c:f>'Pernoctaciones evol mensu TF'!$B$185:$B$196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TF'!$L$185:$L$197</c:f>
              <c:numCache>
                <c:formatCode>0.0%</c:formatCode>
                <c:ptCount val="13"/>
                <c:pt idx="0">
                  <c:v>-0.31803278688524594</c:v>
                </c:pt>
                <c:pt idx="1">
                  <c:v>0.27627118644067794</c:v>
                </c:pt>
                <c:pt idx="2">
                  <c:v>0.79562043795620441</c:v>
                </c:pt>
                <c:pt idx="3">
                  <c:v>0.91891891891891886</c:v>
                </c:pt>
                <c:pt idx="4">
                  <c:v>-0.1410579345088161</c:v>
                </c:pt>
                <c:pt idx="5">
                  <c:v>-0.21352313167259784</c:v>
                </c:pt>
                <c:pt idx="6">
                  <c:v>-0.23817034700315454</c:v>
                </c:pt>
                <c:pt idx="12">
                  <c:v>5.7888762769580104E-2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805-4EDD-8281-9DF3E4FD3B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04A-4466-87DC-1BDDADEF7697}"/>
              </c:ext>
            </c:extLst>
          </c:dPt>
          <c:val>
            <c:numRef>
              <c:f>'Pernoctaciones evol mensu TF'!$G$207:$G$219</c:f>
              <c:numCache>
                <c:formatCode>#,##0</c:formatCode>
                <c:ptCount val="13"/>
                <c:pt idx="0">
                  <c:v>913</c:v>
                </c:pt>
                <c:pt idx="1">
                  <c:v>794</c:v>
                </c:pt>
                <c:pt idx="2">
                  <c:v>658</c:v>
                </c:pt>
                <c:pt idx="3">
                  <c:v>538</c:v>
                </c:pt>
                <c:pt idx="4">
                  <c:v>534</c:v>
                </c:pt>
                <c:pt idx="5">
                  <c:v>267</c:v>
                </c:pt>
                <c:pt idx="6">
                  <c:v>431</c:v>
                </c:pt>
                <c:pt idx="7">
                  <c:v>977</c:v>
                </c:pt>
                <c:pt idx="8">
                  <c:v>351</c:v>
                </c:pt>
                <c:pt idx="9">
                  <c:v>517</c:v>
                </c:pt>
                <c:pt idx="10">
                  <c:v>704</c:v>
                </c:pt>
                <c:pt idx="11">
                  <c:v>744</c:v>
                </c:pt>
                <c:pt idx="12">
                  <c:v>7428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04A-4466-87DC-1BDDADEF7697}"/>
            </c:ext>
          </c:extLst>
        </c:ser>
        <c:ser>
          <c:idx val="0"/>
          <c:order val="2"/>
          <c:tx>
            <c:strRef>
              <c:f>'Pernoctaciones evol mensu TF'!$I$205:$J$205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04A-4466-87DC-1BDDADEF7697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TF'!$I$207:$I$219</c:f>
              <c:numCache>
                <c:formatCode>#,##0</c:formatCode>
                <c:ptCount val="13"/>
                <c:pt idx="0">
                  <c:v>1114</c:v>
                </c:pt>
                <c:pt idx="1">
                  <c:v>881</c:v>
                </c:pt>
                <c:pt idx="2">
                  <c:v>653</c:v>
                </c:pt>
                <c:pt idx="3">
                  <c:v>382</c:v>
                </c:pt>
                <c:pt idx="4">
                  <c:v>431</c:v>
                </c:pt>
                <c:pt idx="5">
                  <c:v>360</c:v>
                </c:pt>
                <c:pt idx="6">
                  <c:v>835</c:v>
                </c:pt>
                <c:pt idx="7">
                  <c:v>935</c:v>
                </c:pt>
                <c:pt idx="8">
                  <c:v>970</c:v>
                </c:pt>
                <c:pt idx="9">
                  <c:v>609</c:v>
                </c:pt>
                <c:pt idx="10">
                  <c:v>773</c:v>
                </c:pt>
                <c:pt idx="11">
                  <c:v>814</c:v>
                </c:pt>
                <c:pt idx="12">
                  <c:v>8757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04A-4466-87DC-1BDDADEF7697}"/>
            </c:ext>
          </c:extLst>
        </c:ser>
        <c:ser>
          <c:idx val="1"/>
          <c:order val="3"/>
          <c:tx>
            <c:strRef>
              <c:f>'Pernoctaciones evol mensu TF'!$K$205:$L$205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04A-4466-87DC-1BDDADEF769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04A-4466-87DC-1BDDADEF7697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TF'!$K$207:$K$219</c:f>
              <c:numCache>
                <c:formatCode>#,##0</c:formatCode>
                <c:ptCount val="13"/>
                <c:pt idx="0">
                  <c:v>1042</c:v>
                </c:pt>
                <c:pt idx="1">
                  <c:v>953</c:v>
                </c:pt>
                <c:pt idx="2">
                  <c:v>996</c:v>
                </c:pt>
                <c:pt idx="3">
                  <c:v>576</c:v>
                </c:pt>
                <c:pt idx="4">
                  <c:v>386</c:v>
                </c:pt>
                <c:pt idx="5">
                  <c:v>512</c:v>
                </c:pt>
                <c:pt idx="6">
                  <c:v>745</c:v>
                </c:pt>
                <c:pt idx="12">
                  <c:v>5210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04A-4466-87DC-1BDDADEF7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04A-4466-87DC-1BDDADEF769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TF'!$C$207:$C$219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841</c:v>
                      </c:pt>
                      <c:pt idx="1">
                        <c:v>652</c:v>
                      </c:pt>
                      <c:pt idx="2">
                        <c:v>550</c:v>
                      </c:pt>
                      <c:pt idx="3">
                        <c:v>388</c:v>
                      </c:pt>
                      <c:pt idx="4">
                        <c:v>435</c:v>
                      </c:pt>
                      <c:pt idx="5">
                        <c:v>373</c:v>
                      </c:pt>
                      <c:pt idx="6">
                        <c:v>244</c:v>
                      </c:pt>
                      <c:pt idx="7">
                        <c:v>636</c:v>
                      </c:pt>
                      <c:pt idx="8">
                        <c:v>373</c:v>
                      </c:pt>
                      <c:pt idx="9">
                        <c:v>371</c:v>
                      </c:pt>
                      <c:pt idx="10">
                        <c:v>765</c:v>
                      </c:pt>
                      <c:pt idx="11">
                        <c:v>835</c:v>
                      </c:pt>
                      <c:pt idx="12">
                        <c:v>6463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04A-4466-87DC-1BDDADEF769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TF'!$L$206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04A-4466-87DC-1BDDADEF769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04A-4466-87DC-1BDDADEF769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04A-4466-87DC-1BDDADEF769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04A-4466-87DC-1BDDADEF769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04A-4466-87DC-1BDDADEF769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04A-4466-87DC-1BDDADEF769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04A-4466-87DC-1BDDADEF769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04A-4466-87DC-1BDDADEF769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04A-4466-87DC-1BDDADEF769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04A-4466-87DC-1BDDADEF769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04A-4466-87DC-1BDDADEF769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04A-4466-87DC-1BDDADEF769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04A-4466-87DC-1BDDADEF7697}"/>
              </c:ext>
            </c:extLst>
          </c:dPt>
          <c:cat>
            <c:strRef>
              <c:f>'Pernoctaciones evol mensu TF'!$B$207:$B$218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TF'!$L$207:$L$219</c:f>
              <c:numCache>
                <c:formatCode>0.0%</c:formatCode>
                <c:ptCount val="13"/>
                <c:pt idx="0">
                  <c:v>-6.4631956912028721E-2</c:v>
                </c:pt>
                <c:pt idx="1">
                  <c:v>8.1725312145289442E-2</c:v>
                </c:pt>
                <c:pt idx="2">
                  <c:v>0.5252679938744258</c:v>
                </c:pt>
                <c:pt idx="3">
                  <c:v>0.50785340314136129</c:v>
                </c:pt>
                <c:pt idx="4">
                  <c:v>-0.10440835266821347</c:v>
                </c:pt>
                <c:pt idx="5">
                  <c:v>0.42222222222222228</c:v>
                </c:pt>
                <c:pt idx="6">
                  <c:v>-0.10778443113772451</c:v>
                </c:pt>
                <c:pt idx="12">
                  <c:v>0.11898625429553267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04A-4466-87DC-1BDDADEF76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2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398-424E-8602-3609ECD6170C}"/>
              </c:ext>
            </c:extLst>
          </c:dPt>
          <c:val>
            <c:numRef>
              <c:f>'Pernoctaciones evol mensu TF'!$G$229:$G$241</c:f>
              <c:numCache>
                <c:formatCode>#,##0</c:formatCode>
                <c:ptCount val="13"/>
                <c:pt idx="0">
                  <c:v>839</c:v>
                </c:pt>
                <c:pt idx="1">
                  <c:v>667</c:v>
                </c:pt>
                <c:pt idx="2">
                  <c:v>523</c:v>
                </c:pt>
                <c:pt idx="3">
                  <c:v>220</c:v>
                </c:pt>
                <c:pt idx="4">
                  <c:v>37</c:v>
                </c:pt>
                <c:pt idx="5">
                  <c:v>228</c:v>
                </c:pt>
                <c:pt idx="6">
                  <c:v>319</c:v>
                </c:pt>
                <c:pt idx="7">
                  <c:v>102</c:v>
                </c:pt>
                <c:pt idx="8">
                  <c:v>55</c:v>
                </c:pt>
                <c:pt idx="9">
                  <c:v>251</c:v>
                </c:pt>
                <c:pt idx="10">
                  <c:v>252</c:v>
                </c:pt>
                <c:pt idx="11">
                  <c:v>377</c:v>
                </c:pt>
                <c:pt idx="12">
                  <c:v>3870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398-424E-8602-3609ECD6170C}"/>
            </c:ext>
          </c:extLst>
        </c:ser>
        <c:ser>
          <c:idx val="0"/>
          <c:order val="2"/>
          <c:tx>
            <c:strRef>
              <c:f>'Pernoctaciones evol mensu TF'!$I$227:$J$227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398-424E-8602-3609ECD6170C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TF'!$I$229:$I$241</c:f>
              <c:numCache>
                <c:formatCode>#,##0</c:formatCode>
                <c:ptCount val="13"/>
                <c:pt idx="0">
                  <c:v>555</c:v>
                </c:pt>
                <c:pt idx="1">
                  <c:v>428</c:v>
                </c:pt>
                <c:pt idx="2">
                  <c:v>403</c:v>
                </c:pt>
                <c:pt idx="3">
                  <c:v>184</c:v>
                </c:pt>
                <c:pt idx="4">
                  <c:v>24</c:v>
                </c:pt>
                <c:pt idx="5">
                  <c:v>75</c:v>
                </c:pt>
                <c:pt idx="6">
                  <c:v>102</c:v>
                </c:pt>
                <c:pt idx="7">
                  <c:v>101</c:v>
                </c:pt>
                <c:pt idx="8">
                  <c:v>120</c:v>
                </c:pt>
                <c:pt idx="9">
                  <c:v>121</c:v>
                </c:pt>
                <c:pt idx="10">
                  <c:v>434</c:v>
                </c:pt>
                <c:pt idx="11">
                  <c:v>459</c:v>
                </c:pt>
                <c:pt idx="12">
                  <c:v>3006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398-424E-8602-3609ECD6170C}"/>
            </c:ext>
          </c:extLst>
        </c:ser>
        <c:ser>
          <c:idx val="1"/>
          <c:order val="3"/>
          <c:tx>
            <c:strRef>
              <c:f>'Pernoctaciones evol mensu TF'!$K$227:$L$227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398-424E-8602-3609ECD6170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398-424E-8602-3609ECD6170C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TF'!$K$229:$K$241</c:f>
              <c:numCache>
                <c:formatCode>#,##0</c:formatCode>
                <c:ptCount val="13"/>
                <c:pt idx="0">
                  <c:v>571</c:v>
                </c:pt>
                <c:pt idx="1">
                  <c:v>412</c:v>
                </c:pt>
                <c:pt idx="2">
                  <c:v>329</c:v>
                </c:pt>
                <c:pt idx="3">
                  <c:v>202</c:v>
                </c:pt>
                <c:pt idx="4">
                  <c:v>71</c:v>
                </c:pt>
                <c:pt idx="5">
                  <c:v>80</c:v>
                </c:pt>
                <c:pt idx="6">
                  <c:v>21</c:v>
                </c:pt>
                <c:pt idx="12">
                  <c:v>1686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398-424E-8602-3609ECD61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398-424E-8602-3609ECD6170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TF'!$C$229:$C$241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507</c:v>
                      </c:pt>
                      <c:pt idx="1">
                        <c:v>218</c:v>
                      </c:pt>
                      <c:pt idx="2">
                        <c:v>305</c:v>
                      </c:pt>
                      <c:pt idx="3">
                        <c:v>251</c:v>
                      </c:pt>
                      <c:pt idx="4">
                        <c:v>88</c:v>
                      </c:pt>
                      <c:pt idx="5">
                        <c:v>91</c:v>
                      </c:pt>
                      <c:pt idx="6">
                        <c:v>118</c:v>
                      </c:pt>
                      <c:pt idx="7">
                        <c:v>75</c:v>
                      </c:pt>
                      <c:pt idx="8">
                        <c:v>50</c:v>
                      </c:pt>
                      <c:pt idx="9">
                        <c:v>275</c:v>
                      </c:pt>
                      <c:pt idx="10">
                        <c:v>369</c:v>
                      </c:pt>
                      <c:pt idx="11">
                        <c:v>400</c:v>
                      </c:pt>
                      <c:pt idx="12">
                        <c:v>2747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398-424E-8602-3609ECD6170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TF'!$L$228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398-424E-8602-3609ECD6170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398-424E-8602-3609ECD6170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398-424E-8602-3609ECD6170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398-424E-8602-3609ECD6170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398-424E-8602-3609ECD6170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398-424E-8602-3609ECD6170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398-424E-8602-3609ECD6170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398-424E-8602-3609ECD6170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398-424E-8602-3609ECD6170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398-424E-8602-3609ECD6170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398-424E-8602-3609ECD6170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398-424E-8602-3609ECD6170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398-424E-8602-3609ECD6170C}"/>
              </c:ext>
            </c:extLst>
          </c:dPt>
          <c:cat>
            <c:strRef>
              <c:f>'Pernoctaciones evol mensu TF'!$B$229:$B$240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TF'!$L$229:$L$241</c:f>
              <c:numCache>
                <c:formatCode>0.0%</c:formatCode>
                <c:ptCount val="13"/>
                <c:pt idx="0">
                  <c:v>2.8828828828828756E-2</c:v>
                </c:pt>
                <c:pt idx="1">
                  <c:v>-3.7383177570093462E-2</c:v>
                </c:pt>
                <c:pt idx="2">
                  <c:v>-0.18362282878411906</c:v>
                </c:pt>
                <c:pt idx="3">
                  <c:v>9.7826086956521729E-2</c:v>
                </c:pt>
                <c:pt idx="4">
                  <c:v>1.9583333333333335</c:v>
                </c:pt>
                <c:pt idx="5">
                  <c:v>6.6666666666666652E-2</c:v>
                </c:pt>
                <c:pt idx="6">
                  <c:v>-0.79411764705882359</c:v>
                </c:pt>
                <c:pt idx="12">
                  <c:v>-4.7995482778091514E-2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398-424E-8602-3609ECD617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'Pernoctaciones evol mensu TF'!$G$253:$H$253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16F2-4532-9E63-A57FEE3CEF2E}"/>
              </c:ext>
            </c:extLst>
          </c:dPt>
          <c:val>
            <c:numRef>
              <c:f>'Pernoctaciones evol mensu TF'!$G$255:$G$267</c:f>
              <c:numCache>
                <c:formatCode>#,##0</c:formatCode>
                <c:ptCount val="13"/>
                <c:pt idx="0">
                  <c:v>914</c:v>
                </c:pt>
                <c:pt idx="1">
                  <c:v>788</c:v>
                </c:pt>
                <c:pt idx="2">
                  <c:v>694</c:v>
                </c:pt>
                <c:pt idx="3">
                  <c:v>581</c:v>
                </c:pt>
                <c:pt idx="4">
                  <c:v>78</c:v>
                </c:pt>
                <c:pt idx="5">
                  <c:v>57</c:v>
                </c:pt>
                <c:pt idx="6">
                  <c:v>175</c:v>
                </c:pt>
                <c:pt idx="7">
                  <c:v>168</c:v>
                </c:pt>
                <c:pt idx="8">
                  <c:v>48</c:v>
                </c:pt>
                <c:pt idx="9">
                  <c:v>379</c:v>
                </c:pt>
                <c:pt idx="10">
                  <c:v>655</c:v>
                </c:pt>
                <c:pt idx="11">
                  <c:v>889</c:v>
                </c:pt>
                <c:pt idx="12">
                  <c:v>5426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6F2-4532-9E63-A57FEE3CEF2E}"/>
            </c:ext>
          </c:extLst>
        </c:ser>
        <c:ser>
          <c:idx val="0"/>
          <c:order val="2"/>
          <c:tx>
            <c:strRef>
              <c:f>'Pernoctaciones evol mensu TF'!$I$253:$J$253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16F2-4532-9E63-A57FEE3CEF2E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TF'!$I$255:$I$267</c:f>
              <c:numCache>
                <c:formatCode>#,##0</c:formatCode>
                <c:ptCount val="13"/>
                <c:pt idx="0">
                  <c:v>985</c:v>
                </c:pt>
                <c:pt idx="1">
                  <c:v>653</c:v>
                </c:pt>
                <c:pt idx="2">
                  <c:v>528</c:v>
                </c:pt>
                <c:pt idx="3">
                  <c:v>256</c:v>
                </c:pt>
                <c:pt idx="4">
                  <c:v>122</c:v>
                </c:pt>
                <c:pt idx="5">
                  <c:v>74</c:v>
                </c:pt>
                <c:pt idx="6">
                  <c:v>197</c:v>
                </c:pt>
                <c:pt idx="7">
                  <c:v>34</c:v>
                </c:pt>
                <c:pt idx="8">
                  <c:v>60</c:v>
                </c:pt>
                <c:pt idx="9">
                  <c:v>184</c:v>
                </c:pt>
                <c:pt idx="10">
                  <c:v>787</c:v>
                </c:pt>
                <c:pt idx="11">
                  <c:v>775</c:v>
                </c:pt>
                <c:pt idx="12">
                  <c:v>4655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6F2-4532-9E63-A57FEE3CEF2E}"/>
            </c:ext>
          </c:extLst>
        </c:ser>
        <c:ser>
          <c:idx val="1"/>
          <c:order val="3"/>
          <c:tx>
            <c:strRef>
              <c:f>'Pernoctaciones evol mensu TF'!$K$253:$L$253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16F2-4532-9E63-A57FEE3CEF2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16F2-4532-9E63-A57FEE3CEF2E}"/>
              </c:ext>
            </c:extLst>
          </c:dPt>
          <c:cat>
            <c:strRef>
              <c:f>'Pernoctaciones evol mensu TF'!$A$9:$A$21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'Pernoctaciones evol mensu TF'!$K$255:$K$267</c:f>
              <c:numCache>
                <c:formatCode>#,##0</c:formatCode>
                <c:ptCount val="13"/>
                <c:pt idx="0">
                  <c:v>1055</c:v>
                </c:pt>
                <c:pt idx="1">
                  <c:v>659</c:v>
                </c:pt>
                <c:pt idx="2">
                  <c:v>654</c:v>
                </c:pt>
                <c:pt idx="3">
                  <c:v>220</c:v>
                </c:pt>
                <c:pt idx="4">
                  <c:v>122</c:v>
                </c:pt>
                <c:pt idx="5">
                  <c:v>39</c:v>
                </c:pt>
                <c:pt idx="6">
                  <c:v>180</c:v>
                </c:pt>
                <c:pt idx="12">
                  <c:v>2929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6F2-4532-9E63-A57FEE3CE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'Pernoctaciones evol mensu TF'!$C$253:$D$253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16F2-4532-9E63-A57FEE3CEF2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'Pernoctaciones evol mensu TF'!$A$9:$A$21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'Pernoctaciones evol mensu TF'!$C$255:$C$267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571</c:v>
                      </c:pt>
                      <c:pt idx="1">
                        <c:v>551</c:v>
                      </c:pt>
                      <c:pt idx="2">
                        <c:v>386</c:v>
                      </c:pt>
                      <c:pt idx="3">
                        <c:v>324</c:v>
                      </c:pt>
                      <c:pt idx="4">
                        <c:v>196</c:v>
                      </c:pt>
                      <c:pt idx="5">
                        <c:v>343</c:v>
                      </c:pt>
                      <c:pt idx="6">
                        <c:v>64</c:v>
                      </c:pt>
                      <c:pt idx="7">
                        <c:v>25</c:v>
                      </c:pt>
                      <c:pt idx="8">
                        <c:v>73</c:v>
                      </c:pt>
                      <c:pt idx="9">
                        <c:v>286</c:v>
                      </c:pt>
                      <c:pt idx="10">
                        <c:v>541</c:v>
                      </c:pt>
                      <c:pt idx="11">
                        <c:v>662</c:v>
                      </c:pt>
                      <c:pt idx="12">
                        <c:v>4022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16F2-4532-9E63-A57FEE3CEF2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'Pernoctaciones evol mensu TF'!$L$254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16F2-4532-9E63-A57FEE3CEF2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16F2-4532-9E63-A57FEE3CEF2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16F2-4532-9E63-A57FEE3CEF2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16F2-4532-9E63-A57FEE3CEF2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16F2-4532-9E63-A57FEE3CEF2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16F2-4532-9E63-A57FEE3CEF2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16F2-4532-9E63-A57FEE3CEF2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16F2-4532-9E63-A57FEE3CEF2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16F2-4532-9E63-A57FEE3CEF2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16F2-4532-9E63-A57FEE3CEF2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16F2-4532-9E63-A57FEE3CEF2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16F2-4532-9E63-A57FEE3CEF2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16F2-4532-9E63-A57FEE3CEF2E}"/>
              </c:ext>
            </c:extLst>
          </c:dPt>
          <c:cat>
            <c:strRef>
              <c:f>'Pernoctaciones evol mensu TF'!$B$255:$B$266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'Pernoctaciones evol mensu TF'!$L$255:$L$267</c:f>
              <c:numCache>
                <c:formatCode>0.0%</c:formatCode>
                <c:ptCount val="13"/>
                <c:pt idx="0">
                  <c:v>7.1065989847715727E-2</c:v>
                </c:pt>
                <c:pt idx="1">
                  <c:v>9.1883614088821286E-3</c:v>
                </c:pt>
                <c:pt idx="2">
                  <c:v>0.23863636363636354</c:v>
                </c:pt>
                <c:pt idx="3">
                  <c:v>-0.140625</c:v>
                </c:pt>
                <c:pt idx="4">
                  <c:v>0</c:v>
                </c:pt>
                <c:pt idx="5">
                  <c:v>-0.47297297297297303</c:v>
                </c:pt>
                <c:pt idx="6">
                  <c:v>-8.6294416243654859E-2</c:v>
                </c:pt>
                <c:pt idx="12">
                  <c:v>4.0497335701598525E-2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16F2-4532-9E63-A57FEE3CE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12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BBB-456A-A82E-4C9ABB744EED}"/>
              </c:ext>
            </c:extLst>
          </c:dPt>
          <c:val>
            <c:numRef>
              <c:f>'Pernocta evol mensu TF cat'!$G$9:$G$21</c:f>
              <c:numCache>
                <c:formatCode>#,##0</c:formatCode>
                <c:ptCount val="13"/>
                <c:pt idx="0">
                  <c:v>61741</c:v>
                </c:pt>
                <c:pt idx="1">
                  <c:v>55957</c:v>
                </c:pt>
                <c:pt idx="2">
                  <c:v>58643</c:v>
                </c:pt>
                <c:pt idx="3">
                  <c:v>46133</c:v>
                </c:pt>
                <c:pt idx="4">
                  <c:v>38316</c:v>
                </c:pt>
                <c:pt idx="5">
                  <c:v>40074</c:v>
                </c:pt>
                <c:pt idx="6">
                  <c:v>45242</c:v>
                </c:pt>
                <c:pt idx="7">
                  <c:v>42595</c:v>
                </c:pt>
                <c:pt idx="8">
                  <c:v>43154</c:v>
                </c:pt>
                <c:pt idx="9">
                  <c:v>43124</c:v>
                </c:pt>
                <c:pt idx="10">
                  <c:v>53169</c:v>
                </c:pt>
                <c:pt idx="11">
                  <c:v>55215</c:v>
                </c:pt>
                <c:pt idx="12">
                  <c:v>583363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BBB-456A-A82E-4C9ABB744EED}"/>
            </c:ext>
          </c:extLst>
        </c:ser>
        <c:ser>
          <c:idx val="0"/>
          <c:order val="2"/>
          <c:tx>
            <c:strRef>
              <c:f>'Pernocta evol mensu TF cat'!$I$7:$J$7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BBB-456A-A82E-4C9ABB744EED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cat'!$I$9:$I$21</c:f>
              <c:numCache>
                <c:formatCode>#,##0</c:formatCode>
                <c:ptCount val="13"/>
                <c:pt idx="0">
                  <c:v>57077</c:v>
                </c:pt>
                <c:pt idx="1">
                  <c:v>52638</c:v>
                </c:pt>
                <c:pt idx="2">
                  <c:v>56752</c:v>
                </c:pt>
                <c:pt idx="3">
                  <c:v>47123</c:v>
                </c:pt>
                <c:pt idx="4">
                  <c:v>45582</c:v>
                </c:pt>
                <c:pt idx="5">
                  <c:v>42497</c:v>
                </c:pt>
                <c:pt idx="6">
                  <c:v>49837</c:v>
                </c:pt>
                <c:pt idx="7">
                  <c:v>49206</c:v>
                </c:pt>
                <c:pt idx="8">
                  <c:v>47691</c:v>
                </c:pt>
                <c:pt idx="9">
                  <c:v>55510</c:v>
                </c:pt>
                <c:pt idx="10">
                  <c:v>56612</c:v>
                </c:pt>
                <c:pt idx="11">
                  <c:v>54945</c:v>
                </c:pt>
                <c:pt idx="12">
                  <c:v>615470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BBB-456A-A82E-4C9ABB744EED}"/>
            </c:ext>
          </c:extLst>
        </c:ser>
        <c:ser>
          <c:idx val="1"/>
          <c:order val="3"/>
          <c:tx>
            <c:strRef>
              <c:f>'Pernocta evol mensu TF cat'!$K$7:$L$7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BBB-456A-A82E-4C9ABB744EE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BBB-456A-A82E-4C9ABB744EED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cat'!$K$9:$K$21</c:f>
              <c:numCache>
                <c:formatCode>#,##0</c:formatCode>
                <c:ptCount val="13"/>
                <c:pt idx="0">
                  <c:v>61315</c:v>
                </c:pt>
                <c:pt idx="1">
                  <c:v>58411</c:v>
                </c:pt>
                <c:pt idx="2">
                  <c:v>59958</c:v>
                </c:pt>
                <c:pt idx="3">
                  <c:v>49320</c:v>
                </c:pt>
                <c:pt idx="4">
                  <c:v>46526</c:v>
                </c:pt>
                <c:pt idx="5">
                  <c:v>40082</c:v>
                </c:pt>
                <c:pt idx="6">
                  <c:v>47307</c:v>
                </c:pt>
                <c:pt idx="12">
                  <c:v>362919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BBB-456A-A82E-4C9ABB744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BBB-456A-A82E-4C9ABB744EE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cat'!$C$9:$C$21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9068</c:v>
                      </c:pt>
                      <c:pt idx="1">
                        <c:v>15142</c:v>
                      </c:pt>
                      <c:pt idx="2">
                        <c:v>22329</c:v>
                      </c:pt>
                      <c:pt idx="3">
                        <c:v>19557</c:v>
                      </c:pt>
                      <c:pt idx="4">
                        <c:v>24025</c:v>
                      </c:pt>
                      <c:pt idx="5">
                        <c:v>26795</c:v>
                      </c:pt>
                      <c:pt idx="6">
                        <c:v>31224</c:v>
                      </c:pt>
                      <c:pt idx="7">
                        <c:v>36151</c:v>
                      </c:pt>
                      <c:pt idx="8">
                        <c:v>36202</c:v>
                      </c:pt>
                      <c:pt idx="9">
                        <c:v>42785</c:v>
                      </c:pt>
                      <c:pt idx="10">
                        <c:v>49146</c:v>
                      </c:pt>
                      <c:pt idx="11">
                        <c:v>46745</c:v>
                      </c:pt>
                      <c:pt idx="12">
                        <c:v>359169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BBB-456A-A82E-4C9ABB744EE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BBB-456A-A82E-4C9ABB744EE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BBB-456A-A82E-4C9ABB744EE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BBB-456A-A82E-4C9ABB744EE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BBB-456A-A82E-4C9ABB744EE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BBB-456A-A82E-4C9ABB744EE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BBB-456A-A82E-4C9ABB744EE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BBB-456A-A82E-4C9ABB744EE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BBB-456A-A82E-4C9ABB744EE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BBB-456A-A82E-4C9ABB744EE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BBB-456A-A82E-4C9ABB744EE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BBB-456A-A82E-4C9ABB744EE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BBB-456A-A82E-4C9ABB744EE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BBB-456A-A82E-4C9ABB744EED}"/>
              </c:ext>
            </c:extLst>
          </c:dPt>
          <c:cat>
            <c:strRef>
              <c:f>'Pernocta evol mensu TF cat'!$B$9:$B$20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cat'!$L$9:$L$21</c:f>
              <c:numCache>
                <c:formatCode>0.0%</c:formatCode>
                <c:ptCount val="13"/>
                <c:pt idx="0">
                  <c:v>7.4250573786288632E-2</c:v>
                </c:pt>
                <c:pt idx="1">
                  <c:v>0.10967361981838208</c:v>
                </c:pt>
                <c:pt idx="2">
                  <c:v>5.6491401184099344E-2</c:v>
                </c:pt>
                <c:pt idx="3">
                  <c:v>4.6622668336056661E-2</c:v>
                </c:pt>
                <c:pt idx="4">
                  <c:v>2.0709929358079915E-2</c:v>
                </c:pt>
                <c:pt idx="5">
                  <c:v>-5.6827540767583562E-2</c:v>
                </c:pt>
                <c:pt idx="6">
                  <c:v>-5.0765495515380121E-2</c:v>
                </c:pt>
                <c:pt idx="12">
                  <c:v>3.2468862551421562E-2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BBB-456A-A82E-4C9ABB744E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205-4F87-B32B-D6F91159730D}"/>
              </c:ext>
            </c:extLst>
          </c:dPt>
          <c:val>
            <c:numRef>
              <c:f>'Pernocta evol mensu TF cat'!$G$31:$G$43</c:f>
              <c:numCache>
                <c:formatCode>#,##0</c:formatCode>
                <c:ptCount val="13"/>
                <c:pt idx="0">
                  <c:v>61741</c:v>
                </c:pt>
                <c:pt idx="1">
                  <c:v>55957</c:v>
                </c:pt>
                <c:pt idx="2">
                  <c:v>58643</c:v>
                </c:pt>
                <c:pt idx="3">
                  <c:v>46133</c:v>
                </c:pt>
                <c:pt idx="4">
                  <c:v>38316</c:v>
                </c:pt>
                <c:pt idx="5">
                  <c:v>40074</c:v>
                </c:pt>
                <c:pt idx="6">
                  <c:v>45242</c:v>
                </c:pt>
                <c:pt idx="7">
                  <c:v>42595</c:v>
                </c:pt>
                <c:pt idx="8">
                  <c:v>43154</c:v>
                </c:pt>
                <c:pt idx="9">
                  <c:v>43124</c:v>
                </c:pt>
                <c:pt idx="10">
                  <c:v>53169</c:v>
                </c:pt>
                <c:pt idx="11">
                  <c:v>55215</c:v>
                </c:pt>
                <c:pt idx="12">
                  <c:v>583363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05-4F87-B32B-D6F91159730D}"/>
            </c:ext>
          </c:extLst>
        </c:ser>
        <c:ser>
          <c:idx val="0"/>
          <c:order val="2"/>
          <c:tx>
            <c:strRef>
              <c:f>'Pernocta evol mensu TF cat'!$I$29:$J$29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205-4F87-B32B-D6F91159730D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cat'!$I$31:$I$43</c:f>
              <c:numCache>
                <c:formatCode>#,##0</c:formatCode>
                <c:ptCount val="13"/>
                <c:pt idx="0">
                  <c:v>57077</c:v>
                </c:pt>
                <c:pt idx="1">
                  <c:v>52638</c:v>
                </c:pt>
                <c:pt idx="2">
                  <c:v>56752</c:v>
                </c:pt>
                <c:pt idx="3">
                  <c:v>47123</c:v>
                </c:pt>
                <c:pt idx="4">
                  <c:v>45582</c:v>
                </c:pt>
                <c:pt idx="5">
                  <c:v>42497</c:v>
                </c:pt>
                <c:pt idx="6">
                  <c:v>49837</c:v>
                </c:pt>
                <c:pt idx="7">
                  <c:v>49206</c:v>
                </c:pt>
                <c:pt idx="8">
                  <c:v>47691</c:v>
                </c:pt>
                <c:pt idx="9">
                  <c:v>55510</c:v>
                </c:pt>
                <c:pt idx="10">
                  <c:v>56612</c:v>
                </c:pt>
                <c:pt idx="11">
                  <c:v>54945</c:v>
                </c:pt>
                <c:pt idx="12">
                  <c:v>615470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205-4F87-B32B-D6F91159730D}"/>
            </c:ext>
          </c:extLst>
        </c:ser>
        <c:ser>
          <c:idx val="1"/>
          <c:order val="3"/>
          <c:tx>
            <c:strRef>
              <c:f>'Pernocta evol mensu TF cat'!$K$29:$L$29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205-4F87-B32B-D6F91159730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205-4F87-B32B-D6F91159730D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cat'!$K$31:$K$43</c:f>
              <c:numCache>
                <c:formatCode>#,##0</c:formatCode>
                <c:ptCount val="13"/>
                <c:pt idx="0">
                  <c:v>61315</c:v>
                </c:pt>
                <c:pt idx="1">
                  <c:v>58411</c:v>
                </c:pt>
                <c:pt idx="2">
                  <c:v>59958</c:v>
                </c:pt>
                <c:pt idx="3">
                  <c:v>49320</c:v>
                </c:pt>
                <c:pt idx="4">
                  <c:v>46526</c:v>
                </c:pt>
                <c:pt idx="5">
                  <c:v>40082</c:v>
                </c:pt>
                <c:pt idx="6">
                  <c:v>47307</c:v>
                </c:pt>
                <c:pt idx="12">
                  <c:v>362919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205-4F87-B32B-D6F9115973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205-4F87-B32B-D6F91159730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cat'!$C$31:$C$43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40065</c:v>
                      </c:pt>
                      <c:pt idx="1">
                        <c:v>41909</c:v>
                      </c:pt>
                      <c:pt idx="2">
                        <c:v>47103</c:v>
                      </c:pt>
                      <c:pt idx="3">
                        <c:v>43531</c:v>
                      </c:pt>
                      <c:pt idx="4">
                        <c:v>44866</c:v>
                      </c:pt>
                      <c:pt idx="5">
                        <c:v>40470</c:v>
                      </c:pt>
                      <c:pt idx="6">
                        <c:v>43286</c:v>
                      </c:pt>
                      <c:pt idx="7">
                        <c:v>41695</c:v>
                      </c:pt>
                      <c:pt idx="8">
                        <c:v>42224</c:v>
                      </c:pt>
                      <c:pt idx="9">
                        <c:v>48246</c:v>
                      </c:pt>
                      <c:pt idx="10">
                        <c:v>56046</c:v>
                      </c:pt>
                      <c:pt idx="11">
                        <c:v>54058</c:v>
                      </c:pt>
                      <c:pt idx="12">
                        <c:v>543499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205-4F87-B32B-D6F91159730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205-4F87-B32B-D6F91159730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205-4F87-B32B-D6F91159730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205-4F87-B32B-D6F91159730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205-4F87-B32B-D6F91159730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205-4F87-B32B-D6F91159730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205-4F87-B32B-D6F91159730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205-4F87-B32B-D6F91159730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205-4F87-B32B-D6F91159730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205-4F87-B32B-D6F91159730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205-4F87-B32B-D6F91159730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205-4F87-B32B-D6F91159730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205-4F87-B32B-D6F91159730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205-4F87-B32B-D6F91159730D}"/>
              </c:ext>
            </c:extLst>
          </c:dPt>
          <c:cat>
            <c:strRef>
              <c:f>'Pernocta evol mensu TF cat'!$B$31:$B$42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cat'!$L$31:$L$43</c:f>
              <c:numCache>
                <c:formatCode>0.0%</c:formatCode>
                <c:ptCount val="13"/>
                <c:pt idx="0">
                  <c:v>7.4250573786288632E-2</c:v>
                </c:pt>
                <c:pt idx="1">
                  <c:v>0.10967361981838208</c:v>
                </c:pt>
                <c:pt idx="2">
                  <c:v>5.6491401184099344E-2</c:v>
                </c:pt>
                <c:pt idx="3">
                  <c:v>4.6622668336056661E-2</c:v>
                </c:pt>
                <c:pt idx="4">
                  <c:v>2.0709929358079915E-2</c:v>
                </c:pt>
                <c:pt idx="5">
                  <c:v>-5.6827540767583562E-2</c:v>
                </c:pt>
                <c:pt idx="6">
                  <c:v>-5.0765495515380121E-2</c:v>
                </c:pt>
                <c:pt idx="12">
                  <c:v>3.2468862551421562E-2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205-4F87-B32B-D6F9115973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65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3060277777777779"/>
          <c:y val="0.1639336683499483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D13F-4989-B15C-A0015930F4BC}"/>
              </c:ext>
            </c:extLst>
          </c:dPt>
          <c:val>
            <c:numRef>
              <c:f>'Pernocta evol mensu TF cat'!$G$53:$G$65</c:f>
              <c:numCache>
                <c:formatCode>#,##0</c:formatCode>
                <c:ptCount val="13"/>
                <c:pt idx="0">
                  <c:v>36646</c:v>
                </c:pt>
                <c:pt idx="1">
                  <c:v>33731</c:v>
                </c:pt>
                <c:pt idx="2">
                  <c:v>33512</c:v>
                </c:pt>
                <c:pt idx="3">
                  <c:v>28433</c:v>
                </c:pt>
                <c:pt idx="4">
                  <c:v>22675</c:v>
                </c:pt>
                <c:pt idx="5">
                  <c:v>24289</c:v>
                </c:pt>
                <c:pt idx="6">
                  <c:v>28719</c:v>
                </c:pt>
                <c:pt idx="7">
                  <c:v>30070</c:v>
                </c:pt>
                <c:pt idx="8">
                  <c:v>29036</c:v>
                </c:pt>
                <c:pt idx="9">
                  <c:v>29987</c:v>
                </c:pt>
                <c:pt idx="10">
                  <c:v>36706</c:v>
                </c:pt>
                <c:pt idx="11">
                  <c:v>37306</c:v>
                </c:pt>
                <c:pt idx="12">
                  <c:v>371110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3F-4989-B15C-A0015930F4BC}"/>
            </c:ext>
          </c:extLst>
        </c:ser>
        <c:ser>
          <c:idx val="0"/>
          <c:order val="2"/>
          <c:tx>
            <c:strRef>
              <c:f>'Pernocta evol mensu TF cat'!$I$51:$J$51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D13F-4989-B15C-A0015930F4BC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cat'!$I$53:$I$65</c:f>
              <c:numCache>
                <c:formatCode>#,##0</c:formatCode>
                <c:ptCount val="13"/>
                <c:pt idx="0">
                  <c:v>39716</c:v>
                </c:pt>
                <c:pt idx="1">
                  <c:v>36223</c:v>
                </c:pt>
                <c:pt idx="2">
                  <c:v>38616</c:v>
                </c:pt>
                <c:pt idx="3">
                  <c:v>32762</c:v>
                </c:pt>
                <c:pt idx="4">
                  <c:v>31774</c:v>
                </c:pt>
                <c:pt idx="5">
                  <c:v>29665</c:v>
                </c:pt>
                <c:pt idx="6">
                  <c:v>36707</c:v>
                </c:pt>
                <c:pt idx="7">
                  <c:v>37290</c:v>
                </c:pt>
                <c:pt idx="8">
                  <c:v>34069</c:v>
                </c:pt>
                <c:pt idx="9">
                  <c:v>38768</c:v>
                </c:pt>
                <c:pt idx="10">
                  <c:v>38946</c:v>
                </c:pt>
                <c:pt idx="11">
                  <c:v>36917</c:v>
                </c:pt>
                <c:pt idx="12">
                  <c:v>431453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13F-4989-B15C-A0015930F4BC}"/>
            </c:ext>
          </c:extLst>
        </c:ser>
        <c:ser>
          <c:idx val="1"/>
          <c:order val="3"/>
          <c:tx>
            <c:strRef>
              <c:f>'Pernocta evol mensu TF cat'!$K$51:$L$51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D13F-4989-B15C-A0015930F4B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D13F-4989-B15C-A0015930F4BC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cat'!$K$53:$K$65</c:f>
              <c:numCache>
                <c:formatCode>#,##0</c:formatCode>
                <c:ptCount val="13"/>
                <c:pt idx="0">
                  <c:v>40288</c:v>
                </c:pt>
                <c:pt idx="1">
                  <c:v>40040</c:v>
                </c:pt>
                <c:pt idx="2">
                  <c:v>40323</c:v>
                </c:pt>
                <c:pt idx="3">
                  <c:v>32982</c:v>
                </c:pt>
                <c:pt idx="4">
                  <c:v>33700</c:v>
                </c:pt>
                <c:pt idx="5">
                  <c:v>28325</c:v>
                </c:pt>
                <c:pt idx="6">
                  <c:v>35280</c:v>
                </c:pt>
                <c:pt idx="12">
                  <c:v>250938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13F-4989-B15C-A0015930F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D13F-4989-B15C-A0015930F4B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cat'!$C$53:$C$65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25732</c:v>
                      </c:pt>
                      <c:pt idx="1">
                        <c:v>27332</c:v>
                      </c:pt>
                      <c:pt idx="2">
                        <c:v>30980</c:v>
                      </c:pt>
                      <c:pt idx="3">
                        <c:v>29287</c:v>
                      </c:pt>
                      <c:pt idx="4">
                        <c:v>26797</c:v>
                      </c:pt>
                      <c:pt idx="5">
                        <c:v>24434</c:v>
                      </c:pt>
                      <c:pt idx="6">
                        <c:v>27739</c:v>
                      </c:pt>
                      <c:pt idx="7">
                        <c:v>26708</c:v>
                      </c:pt>
                      <c:pt idx="8">
                        <c:v>24257</c:v>
                      </c:pt>
                      <c:pt idx="9">
                        <c:v>27227</c:v>
                      </c:pt>
                      <c:pt idx="10">
                        <c:v>33332</c:v>
                      </c:pt>
                      <c:pt idx="11">
                        <c:v>31034</c:v>
                      </c:pt>
                      <c:pt idx="12">
                        <c:v>334859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D13F-4989-B15C-A0015930F4B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D13F-4989-B15C-A0015930F4B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D13F-4989-B15C-A0015930F4B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D13F-4989-B15C-A0015930F4B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D13F-4989-B15C-A0015930F4B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D13F-4989-B15C-A0015930F4B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D13F-4989-B15C-A0015930F4B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D13F-4989-B15C-A0015930F4B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D13F-4989-B15C-A0015930F4B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D13F-4989-B15C-A0015930F4B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D13F-4989-B15C-A0015930F4B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D13F-4989-B15C-A0015930F4B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D13F-4989-B15C-A0015930F4B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D13F-4989-B15C-A0015930F4BC}"/>
              </c:ext>
            </c:extLst>
          </c:dPt>
          <c:cat>
            <c:strRef>
              <c:f>'Pernocta evol mensu TF cat'!$B$53:$B$64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cat'!$L$53:$L$65</c:f>
              <c:numCache>
                <c:formatCode>0.0%</c:formatCode>
                <c:ptCount val="13"/>
                <c:pt idx="0">
                  <c:v>1.4402256017725934E-2</c:v>
                </c:pt>
                <c:pt idx="1">
                  <c:v>0.10537503795930769</c:v>
                </c:pt>
                <c:pt idx="2">
                  <c:v>4.4204474829086404E-2</c:v>
                </c:pt>
                <c:pt idx="3">
                  <c:v>6.7150967584397314E-3</c:v>
                </c:pt>
                <c:pt idx="4">
                  <c:v>6.0615597658462805E-2</c:v>
                </c:pt>
                <c:pt idx="5">
                  <c:v>-4.5171077026799233E-2</c:v>
                </c:pt>
                <c:pt idx="6">
                  <c:v>-3.8875418857438615E-2</c:v>
                </c:pt>
                <c:pt idx="12">
                  <c:v>2.230478727954921E-2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D13F-4989-B15C-A0015930F4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5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'Pernocta evol mensu TF cat'!$G$73:$H$73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471-4C28-ABF9-CCD28DBF5435}"/>
              </c:ext>
            </c:extLst>
          </c:dPt>
          <c:val>
            <c:numRef>
              <c:f>'Pernocta evol mensu TF cat'!$G$75:$G$87</c:f>
              <c:numCache>
                <c:formatCode>#,##0</c:formatCode>
                <c:ptCount val="13"/>
                <c:pt idx="0">
                  <c:v>25095</c:v>
                </c:pt>
                <c:pt idx="1">
                  <c:v>22226</c:v>
                </c:pt>
                <c:pt idx="2">
                  <c:v>25131</c:v>
                </c:pt>
                <c:pt idx="3">
                  <c:v>17700</c:v>
                </c:pt>
                <c:pt idx="4">
                  <c:v>15641</c:v>
                </c:pt>
                <c:pt idx="5">
                  <c:v>15785</c:v>
                </c:pt>
                <c:pt idx="6">
                  <c:v>16523</c:v>
                </c:pt>
                <c:pt idx="7">
                  <c:v>12525</c:v>
                </c:pt>
                <c:pt idx="8">
                  <c:v>14118</c:v>
                </c:pt>
                <c:pt idx="9">
                  <c:v>13137</c:v>
                </c:pt>
                <c:pt idx="10">
                  <c:v>16463</c:v>
                </c:pt>
                <c:pt idx="11">
                  <c:v>17909</c:v>
                </c:pt>
                <c:pt idx="12">
                  <c:v>212253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71-4C28-ABF9-CCD28DBF5435}"/>
            </c:ext>
          </c:extLst>
        </c:ser>
        <c:ser>
          <c:idx val="0"/>
          <c:order val="2"/>
          <c:tx>
            <c:strRef>
              <c:f>'Pernocta evol mensu TF cat'!$I$73:$J$73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471-4C28-ABF9-CCD28DBF5435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cat'!$I$75:$I$87</c:f>
              <c:numCache>
                <c:formatCode>#,##0</c:formatCode>
                <c:ptCount val="13"/>
                <c:pt idx="0">
                  <c:v>17361</c:v>
                </c:pt>
                <c:pt idx="1">
                  <c:v>16415</c:v>
                </c:pt>
                <c:pt idx="2">
                  <c:v>18136</c:v>
                </c:pt>
                <c:pt idx="3">
                  <c:v>14361</c:v>
                </c:pt>
                <c:pt idx="4">
                  <c:v>13808</c:v>
                </c:pt>
                <c:pt idx="5">
                  <c:v>12832</c:v>
                </c:pt>
                <c:pt idx="6">
                  <c:v>13130</c:v>
                </c:pt>
                <c:pt idx="7">
                  <c:v>11916</c:v>
                </c:pt>
                <c:pt idx="8">
                  <c:v>13622</c:v>
                </c:pt>
                <c:pt idx="9">
                  <c:v>16742</c:v>
                </c:pt>
                <c:pt idx="10">
                  <c:v>17666</c:v>
                </c:pt>
                <c:pt idx="11">
                  <c:v>18028</c:v>
                </c:pt>
                <c:pt idx="12">
                  <c:v>184017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71-4C28-ABF9-CCD28DBF5435}"/>
            </c:ext>
          </c:extLst>
        </c:ser>
        <c:ser>
          <c:idx val="1"/>
          <c:order val="3"/>
          <c:tx>
            <c:strRef>
              <c:f>'Pernocta evol mensu TF cat'!$K$73:$L$73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471-4C28-ABF9-CCD28DBF5435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471-4C28-ABF9-CCD28DBF5435}"/>
              </c:ext>
            </c:extLst>
          </c:dPt>
          <c:cat>
            <c:strRef>
              <c:f>'Pernocta evol mensu TF cat'!$A$9:$A$21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'Pernocta evol mensu TF cat'!$K$75:$K$87</c:f>
              <c:numCache>
                <c:formatCode>#,##0</c:formatCode>
                <c:ptCount val="13"/>
                <c:pt idx="0">
                  <c:v>21027</c:v>
                </c:pt>
                <c:pt idx="1">
                  <c:v>18371</c:v>
                </c:pt>
                <c:pt idx="2">
                  <c:v>19635</c:v>
                </c:pt>
                <c:pt idx="3">
                  <c:v>16338</c:v>
                </c:pt>
                <c:pt idx="4">
                  <c:v>12826</c:v>
                </c:pt>
                <c:pt idx="5">
                  <c:v>11757</c:v>
                </c:pt>
                <c:pt idx="6">
                  <c:v>12027</c:v>
                </c:pt>
                <c:pt idx="12">
                  <c:v>111981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471-4C28-ABF9-CCD28DBF5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'Pernocta evol mensu TF cat'!$C$73:$D$73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471-4C28-ABF9-CCD28DBF5435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'Pernocta evol mensu TF cat'!$A$9:$A$21</c15:sqref>
                        </c15:formulaRef>
                      </c:ext>
                    </c:extLst>
                    <c:strCache>
                      <c:ptCount val="12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'Pernocta evol mensu TF cat'!$C$75:$C$87</c15:sqref>
                        </c15:formulaRef>
                      </c:ext>
                    </c:extLst>
                    <c:numCache>
                      <c:formatCode>#,##0</c:formatCode>
                      <c:ptCount val="13"/>
                      <c:pt idx="0">
                        <c:v>14333</c:v>
                      </c:pt>
                      <c:pt idx="1">
                        <c:v>14577</c:v>
                      </c:pt>
                      <c:pt idx="2">
                        <c:v>16123</c:v>
                      </c:pt>
                      <c:pt idx="3">
                        <c:v>14244</c:v>
                      </c:pt>
                      <c:pt idx="4">
                        <c:v>18069</c:v>
                      </c:pt>
                      <c:pt idx="5">
                        <c:v>16036</c:v>
                      </c:pt>
                      <c:pt idx="6">
                        <c:v>15547</c:v>
                      </c:pt>
                      <c:pt idx="7">
                        <c:v>14987</c:v>
                      </c:pt>
                      <c:pt idx="8">
                        <c:v>17967</c:v>
                      </c:pt>
                      <c:pt idx="9">
                        <c:v>21019</c:v>
                      </c:pt>
                      <c:pt idx="10">
                        <c:v>22714</c:v>
                      </c:pt>
                      <c:pt idx="11">
                        <c:v>23024</c:v>
                      </c:pt>
                      <c:pt idx="12">
                        <c:v>208640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471-4C28-ABF9-CCD28DBF5435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'Pernocta evol mensu TF cat'!$L$74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471-4C28-ABF9-CCD28DBF5435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471-4C28-ABF9-CCD28DBF5435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471-4C28-ABF9-CCD28DBF5435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471-4C28-ABF9-CCD28DBF5435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471-4C28-ABF9-CCD28DBF5435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471-4C28-ABF9-CCD28DBF5435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471-4C28-ABF9-CCD28DBF5435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471-4C28-ABF9-CCD28DBF5435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471-4C28-ABF9-CCD28DBF5435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471-4C28-ABF9-CCD28DBF5435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471-4C28-ABF9-CCD28DBF5435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471-4C28-ABF9-CCD28DBF5435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471-4C28-ABF9-CCD28DBF5435}"/>
              </c:ext>
            </c:extLst>
          </c:dPt>
          <c:cat>
            <c:strRef>
              <c:f>'Pernocta evol mensu TF cat'!$B$75:$B$86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'Pernocta evol mensu TF cat'!$L$75:$L$87</c:f>
              <c:numCache>
                <c:formatCode>0.0%</c:formatCode>
                <c:ptCount val="13"/>
                <c:pt idx="0">
                  <c:v>0.21116295144288921</c:v>
                </c:pt>
                <c:pt idx="1">
                  <c:v>0.11915930551325005</c:v>
                </c:pt>
                <c:pt idx="2">
                  <c:v>8.2653286281429095E-2</c:v>
                </c:pt>
                <c:pt idx="3">
                  <c:v>0.13766450804261532</c:v>
                </c:pt>
                <c:pt idx="4">
                  <c:v>-7.1118192352259579E-2</c:v>
                </c:pt>
                <c:pt idx="5">
                  <c:v>-8.3774937655860304E-2</c:v>
                </c:pt>
                <c:pt idx="6">
                  <c:v>-8.4006092916984021E-2</c:v>
                </c:pt>
                <c:pt idx="12">
                  <c:v>5.599615250417278E-2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471-4C28-ABF9-CCD28DBF54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ax val="30000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CB2-4BAB-B1E0-39BF092D51BB}"/>
              </c:ext>
            </c:extLst>
          </c:dPt>
          <c:val>
            <c:numRef>
              <c:f>'EM evol menusual lugar resd'!$G$9:$G$21</c:f>
              <c:numCache>
                <c:formatCode>0.00</c:formatCode>
                <c:ptCount val="13"/>
                <c:pt idx="0">
                  <c:v>2.6381660470879802</c:v>
                </c:pt>
                <c:pt idx="1">
                  <c:v>2.4732375690607733</c:v>
                </c:pt>
                <c:pt idx="2">
                  <c:v>2.5529145444255801</c:v>
                </c:pt>
                <c:pt idx="3">
                  <c:v>2.4243523043775292</c:v>
                </c:pt>
                <c:pt idx="4">
                  <c:v>2.197144331670394</c:v>
                </c:pt>
                <c:pt idx="5">
                  <c:v>2.0572924688125673</c:v>
                </c:pt>
                <c:pt idx="6">
                  <c:v>2.0914386094674557</c:v>
                </c:pt>
                <c:pt idx="7">
                  <c:v>2.8021182816919938</c:v>
                </c:pt>
                <c:pt idx="8">
                  <c:v>2.2043213975583593</c:v>
                </c:pt>
                <c:pt idx="9">
                  <c:v>2.2301287686818019</c:v>
                </c:pt>
                <c:pt idx="10">
                  <c:v>2.1195535180386686</c:v>
                </c:pt>
                <c:pt idx="11">
                  <c:v>2.241869341020748</c:v>
                </c:pt>
                <c:pt idx="12">
                  <c:v>2.3296593146357729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B2-4BAB-B1E0-39BF092D51BB}"/>
            </c:ext>
          </c:extLst>
        </c:ser>
        <c:ser>
          <c:idx val="0"/>
          <c:order val="2"/>
          <c:tx>
            <c:strRef>
              <c:f>'EM evol menusual lugar resd'!$I$7:$J$7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9CB2-4BAB-B1E0-39BF092D51BB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resd'!$I$9:$I$21</c:f>
              <c:numCache>
                <c:formatCode>0.00</c:formatCode>
                <c:ptCount val="13"/>
                <c:pt idx="0">
                  <c:v>2.3200146329566702</c:v>
                </c:pt>
                <c:pt idx="1">
                  <c:v>2.1117708416914067</c:v>
                </c:pt>
                <c:pt idx="2">
                  <c:v>2.1110739128817468</c:v>
                </c:pt>
                <c:pt idx="3">
                  <c:v>2.2593373927218678</c:v>
                </c:pt>
                <c:pt idx="4">
                  <c:v>2.0151193633952253</c:v>
                </c:pt>
                <c:pt idx="5">
                  <c:v>2.0359794950414409</c:v>
                </c:pt>
                <c:pt idx="6">
                  <c:v>2.0875884890880911</c:v>
                </c:pt>
                <c:pt idx="7">
                  <c:v>2.8997583829335847</c:v>
                </c:pt>
                <c:pt idx="8">
                  <c:v>2.1866574965612107</c:v>
                </c:pt>
                <c:pt idx="9">
                  <c:v>2.2685847398749437</c:v>
                </c:pt>
                <c:pt idx="10">
                  <c:v>1.9873622130169206</c:v>
                </c:pt>
                <c:pt idx="11">
                  <c:v>2.0944992947813823</c:v>
                </c:pt>
                <c:pt idx="12">
                  <c:v>2.1778762283219097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CB2-4BAB-B1E0-39BF092D51BB}"/>
            </c:ext>
          </c:extLst>
        </c:ser>
        <c:ser>
          <c:idx val="1"/>
          <c:order val="3"/>
          <c:tx>
            <c:strRef>
              <c:f>'EM evol menusual lugar resd'!$K$7:$L$7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9CB2-4BAB-B1E0-39BF092D51BB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9CB2-4BAB-B1E0-39BF092D51BB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resd'!$K$9:$K$21</c:f>
              <c:numCache>
                <c:formatCode>0.00</c:formatCode>
                <c:ptCount val="13"/>
                <c:pt idx="0">
                  <c:v>2.1576113730734043</c:v>
                </c:pt>
                <c:pt idx="1">
                  <c:v>2.0968158811070827</c:v>
                </c:pt>
                <c:pt idx="2">
                  <c:v>2.1481083404987102</c:v>
                </c:pt>
                <c:pt idx="3">
                  <c:v>2.1392322706571241</c:v>
                </c:pt>
                <c:pt idx="4">
                  <c:v>2.2807980783371735</c:v>
                </c:pt>
                <c:pt idx="5">
                  <c:v>2.2807980783371735</c:v>
                </c:pt>
                <c:pt idx="6">
                  <c:v>2.2807980783371735</c:v>
                </c:pt>
                <c:pt idx="12">
                  <c:v>2.1533491162178038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CB2-4BAB-B1E0-39BF092D51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9CB2-4BAB-B1E0-39BF092D51BB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2.8322493991234272</c:v>
                      </c:pt>
                      <c:pt idx="1">
                        <c:v>2.4567090685268771</c:v>
                      </c:pt>
                      <c:pt idx="2">
                        <c:v>2.3488082178119076</c:v>
                      </c:pt>
                      <c:pt idx="3">
                        <c:v>2.5104382929642446</c:v>
                      </c:pt>
                      <c:pt idx="4">
                        <c:v>2.4632700120786208</c:v>
                      </c:pt>
                      <c:pt idx="5">
                        <c:v>2.2983870967741935</c:v>
                      </c:pt>
                      <c:pt idx="6">
                        <c:v>2.3937399767737655</c:v>
                      </c:pt>
                      <c:pt idx="7">
                        <c:v>2.6865335051546393</c:v>
                      </c:pt>
                      <c:pt idx="8">
                        <c:v>2.1155368505436143</c:v>
                      </c:pt>
                      <c:pt idx="9">
                        <c:v>2.1997993799015139</c:v>
                      </c:pt>
                      <c:pt idx="10">
                        <c:v>2.2195556611619343</c:v>
                      </c:pt>
                      <c:pt idx="11">
                        <c:v>2.2557062382641351</c:v>
                      </c:pt>
                      <c:pt idx="12">
                        <c:v>2.3720011696365835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9CB2-4BAB-B1E0-39BF092D51BB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9CB2-4BAB-B1E0-39BF092D51BB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9CB2-4BAB-B1E0-39BF092D51BB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9CB2-4BAB-B1E0-39BF092D51BB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9CB2-4BAB-B1E0-39BF092D51BB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9CB2-4BAB-B1E0-39BF092D51BB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9CB2-4BAB-B1E0-39BF092D51BB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9CB2-4BAB-B1E0-39BF092D51BB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9CB2-4BAB-B1E0-39BF092D51BB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9CB2-4BAB-B1E0-39BF092D51BB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9CB2-4BAB-B1E0-39BF092D51BB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9CB2-4BAB-B1E0-39BF092D51BB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9CB2-4BAB-B1E0-39BF092D51BB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9CB2-4BAB-B1E0-39BF092D51BB}"/>
              </c:ext>
            </c:extLst>
          </c:dPt>
          <c:cat>
            <c:strRef>
              <c:f>'EM evol menusual lugar resd'!$B$9:$B$20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resd'!$L$9:$L$21</c:f>
              <c:numCache>
                <c:formatCode>0.00</c:formatCode>
                <c:ptCount val="13"/>
                <c:pt idx="0">
                  <c:v>-0.16240325988326587</c:v>
                </c:pt>
                <c:pt idx="1">
                  <c:v>-1.4954960584323995E-2</c:v>
                </c:pt>
                <c:pt idx="2">
                  <c:v>3.7034427616963406E-2</c:v>
                </c:pt>
                <c:pt idx="3">
                  <c:v>-0.12010512206474377</c:v>
                </c:pt>
                <c:pt idx="4">
                  <c:v>0.26567871494194817</c:v>
                </c:pt>
                <c:pt idx="5">
                  <c:v>0.24481858329573258</c:v>
                </c:pt>
                <c:pt idx="6">
                  <c:v>0.19320958924908238</c:v>
                </c:pt>
                <c:pt idx="12">
                  <c:v>1.8273736891540882E-2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9CB2-4BAB-B1E0-39BF092D51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2E6-4772-B595-0F76923E8F24}"/>
              </c:ext>
            </c:extLst>
          </c:dPt>
          <c:val>
            <c:numRef>
              <c:f>'EM evol menusual lugar resd'!$G$31:$G$43</c:f>
              <c:numCache>
                <c:formatCode>0.00</c:formatCode>
                <c:ptCount val="13"/>
                <c:pt idx="0">
                  <c:v>2.1251545663310369</c:v>
                </c:pt>
                <c:pt idx="1">
                  <c:v>2.0574074074074074</c:v>
                </c:pt>
                <c:pt idx="2">
                  <c:v>2.0040615480746702</c:v>
                </c:pt>
                <c:pt idx="3">
                  <c:v>1.924949290060852</c:v>
                </c:pt>
                <c:pt idx="4">
                  <c:v>1.9562742152289081</c:v>
                </c:pt>
                <c:pt idx="5">
                  <c:v>1.8968067226890757</c:v>
                </c:pt>
                <c:pt idx="6">
                  <c:v>1.8462907283549119</c:v>
                </c:pt>
                <c:pt idx="7">
                  <c:v>2.3323659034719983</c:v>
                </c:pt>
                <c:pt idx="8">
                  <c:v>1.8926924689115552</c:v>
                </c:pt>
                <c:pt idx="9">
                  <c:v>1.9117393011385944</c:v>
                </c:pt>
                <c:pt idx="10">
                  <c:v>1.9577701566807881</c:v>
                </c:pt>
                <c:pt idx="11">
                  <c:v>1.910672057365169</c:v>
                </c:pt>
                <c:pt idx="12">
                  <c:v>1.9698887093879016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E6-4772-B595-0F76923E8F24}"/>
            </c:ext>
          </c:extLst>
        </c:ser>
        <c:ser>
          <c:idx val="0"/>
          <c:order val="2"/>
          <c:tx>
            <c:strRef>
              <c:f>'EM evol menusual lugar resd'!$I$29:$J$29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2E6-4772-B595-0F76923E8F24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resd'!$I$31:$I$43</c:f>
              <c:numCache>
                <c:formatCode>0.00</c:formatCode>
                <c:ptCount val="13"/>
                <c:pt idx="0">
                  <c:v>1.9402484055052032</c:v>
                </c:pt>
                <c:pt idx="1">
                  <c:v>1.7700534759358288</c:v>
                </c:pt>
                <c:pt idx="2">
                  <c:v>1.9781357882623705</c:v>
                </c:pt>
                <c:pt idx="3">
                  <c:v>2.0816009928637915</c:v>
                </c:pt>
                <c:pt idx="4">
                  <c:v>1.7977128187175448</c:v>
                </c:pt>
                <c:pt idx="5">
                  <c:v>1.8684021113243763</c:v>
                </c:pt>
                <c:pt idx="6">
                  <c:v>1.8151767267854151</c:v>
                </c:pt>
                <c:pt idx="7">
                  <c:v>2.5127309495358028</c:v>
                </c:pt>
                <c:pt idx="8">
                  <c:v>1.9160999173711308</c:v>
                </c:pt>
                <c:pt idx="9">
                  <c:v>2.0762889061473206</c:v>
                </c:pt>
                <c:pt idx="10">
                  <c:v>1.7456904657431205</c:v>
                </c:pt>
                <c:pt idx="11">
                  <c:v>1.8034905310063127</c:v>
                </c:pt>
                <c:pt idx="12">
                  <c:v>1.9258028172171993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2E6-4772-B595-0F76923E8F24}"/>
            </c:ext>
          </c:extLst>
        </c:ser>
        <c:ser>
          <c:idx val="1"/>
          <c:order val="3"/>
          <c:tx>
            <c:strRef>
              <c:f>'EM evol menusual lugar resd'!$K$29:$L$29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2E6-4772-B595-0F76923E8F24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2E6-4772-B595-0F76923E8F24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resd'!$K$31:$K$43</c:f>
              <c:numCache>
                <c:formatCode>0.00</c:formatCode>
                <c:ptCount val="13"/>
                <c:pt idx="0">
                  <c:v>1.7940283400809716</c:v>
                </c:pt>
                <c:pt idx="1">
                  <c:v>1.8692814854682454</c:v>
                </c:pt>
                <c:pt idx="2">
                  <c:v>1.8782952548330405</c:v>
                </c:pt>
                <c:pt idx="3">
                  <c:v>1.9166132135984606</c:v>
                </c:pt>
                <c:pt idx="4">
                  <c:v>2.0087370411423353</c:v>
                </c:pt>
                <c:pt idx="5">
                  <c:v>1.9089116719242902</c:v>
                </c:pt>
                <c:pt idx="6">
                  <c:v>1.8979140517602056</c:v>
                </c:pt>
                <c:pt idx="12">
                  <c:v>1.8974826085725343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2E6-4772-B595-0F76923E8F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2E6-4772-B595-0F76923E8F24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2.2843450479233227</c:v>
                      </c:pt>
                      <c:pt idx="1">
                        <c:v>2.0040022234574764</c:v>
                      </c:pt>
                      <c:pt idx="2">
                        <c:v>1.9201727861771059</c:v>
                      </c:pt>
                      <c:pt idx="3">
                        <c:v>2.0611977950107447</c:v>
                      </c:pt>
                      <c:pt idx="4">
                        <c:v>2.0660325446112728</c:v>
                      </c:pt>
                      <c:pt idx="5">
                        <c:v>1.9585784511241842</c:v>
                      </c:pt>
                      <c:pt idx="6">
                        <c:v>2.0426347305389223</c:v>
                      </c:pt>
                      <c:pt idx="7">
                        <c:v>2.3593785183517224</c:v>
                      </c:pt>
                      <c:pt idx="8">
                        <c:v>1.9090131425460766</c:v>
                      </c:pt>
                      <c:pt idx="9">
                        <c:v>1.9914913013750666</c:v>
                      </c:pt>
                      <c:pt idx="10">
                        <c:v>1.8761151809675782</c:v>
                      </c:pt>
                      <c:pt idx="11">
                        <c:v>1.9508135403029736</c:v>
                      </c:pt>
                      <c:pt idx="12">
                        <c:v>2.016102486544193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2E6-4772-B595-0F76923E8F24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resd'!$L$30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2E6-4772-B595-0F76923E8F24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2E6-4772-B595-0F76923E8F24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2E6-4772-B595-0F76923E8F24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2E6-4772-B595-0F76923E8F24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2E6-4772-B595-0F76923E8F24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2E6-4772-B595-0F76923E8F24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2E6-4772-B595-0F76923E8F24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2E6-4772-B595-0F76923E8F24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2E6-4772-B595-0F76923E8F24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2E6-4772-B595-0F76923E8F24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2E6-4772-B595-0F76923E8F24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2E6-4772-B595-0F76923E8F24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2E6-4772-B595-0F76923E8F24}"/>
              </c:ext>
            </c:extLst>
          </c:dPt>
          <c:cat>
            <c:strRef>
              <c:f>'EM evol menusual lugar resd'!$B$31:$B$42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resd'!$L$31:$L$43</c:f>
              <c:numCache>
                <c:formatCode>0.00</c:formatCode>
                <c:ptCount val="13"/>
                <c:pt idx="0">
                  <c:v>-0.1462200654242316</c:v>
                </c:pt>
                <c:pt idx="1">
                  <c:v>9.9228009532416506E-2</c:v>
                </c:pt>
                <c:pt idx="2">
                  <c:v>-9.984053342932997E-2</c:v>
                </c:pt>
                <c:pt idx="3">
                  <c:v>-0.16498777926533092</c:v>
                </c:pt>
                <c:pt idx="4">
                  <c:v>0.21102422242479046</c:v>
                </c:pt>
                <c:pt idx="5">
                  <c:v>4.0509560599913952E-2</c:v>
                </c:pt>
                <c:pt idx="6">
                  <c:v>8.2737324974790472E-2</c:v>
                </c:pt>
                <c:pt idx="12">
                  <c:v>1.1735595300292445E-2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2E6-4772-B595-0F76923E8F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494-41EB-8A6F-5B5EA3E6F387}"/>
              </c:ext>
            </c:extLst>
          </c:dPt>
          <c:val>
            <c:numRef>
              <c:f>'EM evol menusual lugar resd'!$G$53:$G$65</c:f>
              <c:numCache>
                <c:formatCode>0.00</c:formatCode>
                <c:ptCount val="13"/>
                <c:pt idx="0">
                  <c:v>2.294748124330118</c:v>
                </c:pt>
                <c:pt idx="1">
                  <c:v>2.2830518345952244</c:v>
                </c:pt>
                <c:pt idx="2">
                  <c:v>2.1673225477335665</c:v>
                </c:pt>
                <c:pt idx="3">
                  <c:v>1.9390554298642535</c:v>
                </c:pt>
                <c:pt idx="4">
                  <c:v>2.1439621830683282</c:v>
                </c:pt>
                <c:pt idx="5">
                  <c:v>2.0647043224608859</c:v>
                </c:pt>
                <c:pt idx="6">
                  <c:v>2.0339616762735631</c:v>
                </c:pt>
                <c:pt idx="7">
                  <c:v>2.4482845610494448</c:v>
                </c:pt>
                <c:pt idx="8">
                  <c:v>2.1919419822723611</c:v>
                </c:pt>
                <c:pt idx="9">
                  <c:v>2.0768831842344095</c:v>
                </c:pt>
                <c:pt idx="10">
                  <c:v>2.198003900424458</c:v>
                </c:pt>
                <c:pt idx="11">
                  <c:v>2.2313143242787246</c:v>
                </c:pt>
                <c:pt idx="12">
                  <c:v>2.1603341584158415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94-41EB-8A6F-5B5EA3E6F387}"/>
            </c:ext>
          </c:extLst>
        </c:ser>
        <c:ser>
          <c:idx val="0"/>
          <c:order val="2"/>
          <c:tx>
            <c:strRef>
              <c:f>'EM evol menusual lugar resd'!$I$51:$J$51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494-41EB-8A6F-5B5EA3E6F38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resd'!$I$53:$I$65</c:f>
              <c:numCache>
                <c:formatCode>0.00</c:formatCode>
                <c:ptCount val="13"/>
                <c:pt idx="0">
                  <c:v>2.1155871886120998</c:v>
                </c:pt>
                <c:pt idx="1">
                  <c:v>1.9233066377087009</c:v>
                </c:pt>
                <c:pt idx="2">
                  <c:v>2.2431515783981215</c:v>
                </c:pt>
                <c:pt idx="3">
                  <c:v>2.4042033235581624</c:v>
                </c:pt>
                <c:pt idx="4">
                  <c:v>2.0404564315352696</c:v>
                </c:pt>
                <c:pt idx="5">
                  <c:v>2.0485012221793388</c:v>
                </c:pt>
                <c:pt idx="6">
                  <c:v>2.0932064813438385</c:v>
                </c:pt>
                <c:pt idx="7">
                  <c:v>3.1525096525096523</c:v>
                </c:pt>
                <c:pt idx="8">
                  <c:v>2.2268828732243366</c:v>
                </c:pt>
                <c:pt idx="9">
                  <c:v>2.5478460238928444</c:v>
                </c:pt>
                <c:pt idx="10">
                  <c:v>1.9006354708261122</c:v>
                </c:pt>
                <c:pt idx="11">
                  <c:v>1.9319966583124477</c:v>
                </c:pt>
                <c:pt idx="12">
                  <c:v>2.1842455351361534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94-41EB-8A6F-5B5EA3E6F387}"/>
            </c:ext>
          </c:extLst>
        </c:ser>
        <c:ser>
          <c:idx val="1"/>
          <c:order val="3"/>
          <c:tx>
            <c:strRef>
              <c:f>'EM evol menusual lugar resd'!$K$51:$L$51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494-41EB-8A6F-5B5EA3E6F38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494-41EB-8A6F-5B5EA3E6F38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resd'!$K$53:$K$65</c:f>
              <c:numCache>
                <c:formatCode>0.00</c:formatCode>
                <c:ptCount val="13"/>
                <c:pt idx="0">
                  <c:v>1.8389566571502725</c:v>
                </c:pt>
                <c:pt idx="1">
                  <c:v>1.9663677130044843</c:v>
                </c:pt>
                <c:pt idx="2">
                  <c:v>2.0642757335817419</c:v>
                </c:pt>
                <c:pt idx="3">
                  <c:v>2.0723455671348741</c:v>
                </c:pt>
                <c:pt idx="4">
                  <c:v>2.2909289022064834</c:v>
                </c:pt>
                <c:pt idx="5">
                  <c:v>2.1949694472076167</c:v>
                </c:pt>
                <c:pt idx="6">
                  <c:v>2.2283071230342277</c:v>
                </c:pt>
                <c:pt idx="12">
                  <c:v>2.0840183728586354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494-41EB-8A6F-5B5EA3E6F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494-41EB-8A6F-5B5EA3E6F38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2.4309420474853205</c:v>
                      </c:pt>
                      <c:pt idx="1">
                        <c:v>2.1549719326383321</c:v>
                      </c:pt>
                      <c:pt idx="2">
                        <c:v>1.9960493046776233</c:v>
                      </c:pt>
                      <c:pt idx="3">
                        <c:v>2.2903803131991052</c:v>
                      </c:pt>
                      <c:pt idx="4">
                        <c:v>2.3475718694169236</c:v>
                      </c:pt>
                      <c:pt idx="5">
                        <c:v>2.1499464476972512</c:v>
                      </c:pt>
                      <c:pt idx="6">
                        <c:v>2.3532442748091604</c:v>
                      </c:pt>
                      <c:pt idx="7">
                        <c:v>2.5090213231273921</c:v>
                      </c:pt>
                      <c:pt idx="8">
                        <c:v>2.1130181347150261</c:v>
                      </c:pt>
                      <c:pt idx="9">
                        <c:v>2.1841864716636197</c:v>
                      </c:pt>
                      <c:pt idx="10">
                        <c:v>2.0410624551328067</c:v>
                      </c:pt>
                      <c:pt idx="11">
                        <c:v>2.1458837772397095</c:v>
                      </c:pt>
                      <c:pt idx="12">
                        <c:v>2.2052106242598546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494-41EB-8A6F-5B5EA3E6F38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resd'!$L$52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494-41EB-8A6F-5B5EA3E6F38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494-41EB-8A6F-5B5EA3E6F38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494-41EB-8A6F-5B5EA3E6F38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494-41EB-8A6F-5B5EA3E6F38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494-41EB-8A6F-5B5EA3E6F38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494-41EB-8A6F-5B5EA3E6F38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494-41EB-8A6F-5B5EA3E6F38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494-41EB-8A6F-5B5EA3E6F38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494-41EB-8A6F-5B5EA3E6F38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494-41EB-8A6F-5B5EA3E6F38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494-41EB-8A6F-5B5EA3E6F38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494-41EB-8A6F-5B5EA3E6F38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494-41EB-8A6F-5B5EA3E6F387}"/>
              </c:ext>
            </c:extLst>
          </c:dPt>
          <c:cat>
            <c:strRef>
              <c:f>'EM evol menusual lugar resd'!$B$53:$B$64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resd'!$L$53:$L$65</c:f>
              <c:numCache>
                <c:formatCode>0.00</c:formatCode>
                <c:ptCount val="13"/>
                <c:pt idx="0">
                  <c:v>-0.27663053146182737</c:v>
                </c:pt>
                <c:pt idx="1">
                  <c:v>4.3061075295783402E-2</c:v>
                </c:pt>
                <c:pt idx="2">
                  <c:v>-0.17887584481637964</c:v>
                </c:pt>
                <c:pt idx="3">
                  <c:v>-0.3318577564232883</c:v>
                </c:pt>
                <c:pt idx="4">
                  <c:v>0.25047247067121381</c:v>
                </c:pt>
                <c:pt idx="5">
                  <c:v>0.14646822502827783</c:v>
                </c:pt>
                <c:pt idx="6">
                  <c:v>0.13510064169038927</c:v>
                </c:pt>
                <c:pt idx="12">
                  <c:v>-3.3185245614622882E-2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494-41EB-8A6F-5B5EA3E6F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C72-40FC-9409-1F23DE255939}"/>
              </c:ext>
            </c:extLst>
          </c:dPt>
          <c:val>
            <c:numRef>
              <c:f>'EM evol menusual lugar resd'!$G$75:$G$87</c:f>
              <c:numCache>
                <c:formatCode>0.00</c:formatCode>
                <c:ptCount val="13"/>
                <c:pt idx="0">
                  <c:v>1.8939678563974118</c:v>
                </c:pt>
                <c:pt idx="1">
                  <c:v>1.7482043096568236</c:v>
                </c:pt>
                <c:pt idx="2">
                  <c:v>1.8155503197576575</c:v>
                </c:pt>
                <c:pt idx="3">
                  <c:v>1.9039915966386554</c:v>
                </c:pt>
                <c:pt idx="4">
                  <c:v>1.7250264737027885</c:v>
                </c:pt>
                <c:pt idx="5">
                  <c:v>1.7241238238101733</c:v>
                </c:pt>
                <c:pt idx="6">
                  <c:v>1.72433691030573</c:v>
                </c:pt>
                <c:pt idx="7">
                  <c:v>2.2463008053942688</c:v>
                </c:pt>
                <c:pt idx="8">
                  <c:v>1.6637069922308545</c:v>
                </c:pt>
                <c:pt idx="9">
                  <c:v>1.6581043409000398</c:v>
                </c:pt>
                <c:pt idx="10">
                  <c:v>1.6174845628859278</c:v>
                </c:pt>
                <c:pt idx="11">
                  <c:v>1.6460595934280144</c:v>
                </c:pt>
                <c:pt idx="12">
                  <c:v>1.7652284939086025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C72-40FC-9409-1F23DE255939}"/>
            </c:ext>
          </c:extLst>
        </c:ser>
        <c:ser>
          <c:idx val="0"/>
          <c:order val="2"/>
          <c:tx>
            <c:strRef>
              <c:f>'EM evol menusual lugar resd'!$I$73:$J$73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C72-40FC-9409-1F23DE255939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resd'!$I$75:$I$87</c:f>
              <c:numCache>
                <c:formatCode>0.00</c:formatCode>
                <c:ptCount val="13"/>
                <c:pt idx="0">
                  <c:v>1.6884072786751176</c:v>
                </c:pt>
                <c:pt idx="1">
                  <c:v>1.5848778087584057</c:v>
                </c:pt>
                <c:pt idx="2">
                  <c:v>1.723420260782347</c:v>
                </c:pt>
                <c:pt idx="3">
                  <c:v>1.7884216760438258</c:v>
                </c:pt>
                <c:pt idx="4">
                  <c:v>1.5991301580566457</c:v>
                </c:pt>
                <c:pt idx="5">
                  <c:v>1.7110911338352623</c:v>
                </c:pt>
                <c:pt idx="6">
                  <c:v>1.6479162940439993</c:v>
                </c:pt>
                <c:pt idx="7">
                  <c:v>2.1190794357832221</c:v>
                </c:pt>
                <c:pt idx="8">
                  <c:v>1.6357151493168904</c:v>
                </c:pt>
                <c:pt idx="9">
                  <c:v>1.6139375295787979</c:v>
                </c:pt>
                <c:pt idx="10">
                  <c:v>1.5619347766511373</c:v>
                </c:pt>
                <c:pt idx="11">
                  <c:v>1.700668449197861</c:v>
                </c:pt>
                <c:pt idx="12">
                  <c:v>1.6909225139628941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C72-40FC-9409-1F23DE255939}"/>
            </c:ext>
          </c:extLst>
        </c:ser>
        <c:ser>
          <c:idx val="1"/>
          <c:order val="3"/>
          <c:tx>
            <c:strRef>
              <c:f>'EM evol menusual lugar resd'!$K$73:$L$73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C72-40FC-9409-1F23DE25593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C72-40FC-9409-1F23DE255939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resd'!$K$75:$K$87</c:f>
              <c:numCache>
                <c:formatCode>0.00</c:formatCode>
                <c:ptCount val="13"/>
                <c:pt idx="0">
                  <c:v>1.7375122428991185</c:v>
                </c:pt>
                <c:pt idx="1">
                  <c:v>1.7552662375658279</c:v>
                </c:pt>
                <c:pt idx="2">
                  <c:v>1.6608115468409586</c:v>
                </c:pt>
                <c:pt idx="3">
                  <c:v>1.7774628879892038</c:v>
                </c:pt>
                <c:pt idx="4">
                  <c:v>1.7495934959349593</c:v>
                </c:pt>
                <c:pt idx="5">
                  <c:v>1.6627949627093777</c:v>
                </c:pt>
                <c:pt idx="6">
                  <c:v>1.7402436870916476</c:v>
                </c:pt>
                <c:pt idx="12">
                  <c:v>1.7261119965227469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C72-40FC-9409-1F23DE2559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C72-40FC-9409-1F23DE25593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resd'!$C$75:$C$87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2.0681475903614457</c:v>
                      </c:pt>
                      <c:pt idx="1">
                        <c:v>1.8160718742201147</c:v>
                      </c:pt>
                      <c:pt idx="2">
                        <c:v>1.8286639984753192</c:v>
                      </c:pt>
                      <c:pt idx="3">
                        <c:v>1.8968394031766405</c:v>
                      </c:pt>
                      <c:pt idx="4">
                        <c:v>1.801950030469226</c:v>
                      </c:pt>
                      <c:pt idx="5">
                        <c:v>1.8010871162039077</c:v>
                      </c:pt>
                      <c:pt idx="6">
                        <c:v>1.8192175703500344</c:v>
                      </c:pt>
                      <c:pt idx="7">
                        <c:v>2.2545941807044412</c:v>
                      </c:pt>
                      <c:pt idx="8">
                        <c:v>1.7204848122100853</c:v>
                      </c:pt>
                      <c:pt idx="9">
                        <c:v>1.7998181542657978</c:v>
                      </c:pt>
                      <c:pt idx="10">
                        <c:v>1.7077103488712988</c:v>
                      </c:pt>
                      <c:pt idx="11">
                        <c:v>1.7823283373997909</c:v>
                      </c:pt>
                      <c:pt idx="12">
                        <c:v>1.8401059185572175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C72-40FC-9409-1F23DE25593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resd'!$L$74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C72-40FC-9409-1F23DE25593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C72-40FC-9409-1F23DE25593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C72-40FC-9409-1F23DE25593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C72-40FC-9409-1F23DE25593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C72-40FC-9409-1F23DE25593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C72-40FC-9409-1F23DE25593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C72-40FC-9409-1F23DE25593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C72-40FC-9409-1F23DE25593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C72-40FC-9409-1F23DE25593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C72-40FC-9409-1F23DE25593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C72-40FC-9409-1F23DE25593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C72-40FC-9409-1F23DE25593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C72-40FC-9409-1F23DE255939}"/>
              </c:ext>
            </c:extLst>
          </c:dPt>
          <c:cat>
            <c:strRef>
              <c:f>'EM evol menusual lugar resd'!$B$75:$B$86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resd'!$L$75:$L$87</c:f>
              <c:numCache>
                <c:formatCode>0.00</c:formatCode>
                <c:ptCount val="13"/>
                <c:pt idx="0">
                  <c:v>4.9104964224000902E-2</c:v>
                </c:pt>
                <c:pt idx="1">
                  <c:v>0.17038842880742222</c:v>
                </c:pt>
                <c:pt idx="2">
                  <c:v>-6.260871394138845E-2</c:v>
                </c:pt>
                <c:pt idx="3">
                  <c:v>-1.0958788054622026E-2</c:v>
                </c:pt>
                <c:pt idx="4">
                  <c:v>0.15046333787831356</c:v>
                </c:pt>
                <c:pt idx="5">
                  <c:v>-4.829617112588469E-2</c:v>
                </c:pt>
                <c:pt idx="6">
                  <c:v>9.2327393047648254E-2</c:v>
                </c:pt>
                <c:pt idx="12">
                  <c:v>5.1628963168891762E-2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C72-40FC-9409-1F23DE2559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resd'!$G$95:$H$95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456-4305-BEA5-38DE663D602F}"/>
              </c:ext>
            </c:extLst>
          </c:dPt>
          <c:val>
            <c:numRef>
              <c:f>'EM evol menusual lugar resd'!$G$97:$G$109</c:f>
              <c:numCache>
                <c:formatCode>0.00</c:formatCode>
                <c:ptCount val="13"/>
                <c:pt idx="0">
                  <c:v>3.1189471070275641</c:v>
                </c:pt>
                <c:pt idx="1">
                  <c:v>2.9329920893438808</c:v>
                </c:pt>
                <c:pt idx="2">
                  <c:v>3.2440007867820615</c:v>
                </c:pt>
                <c:pt idx="3">
                  <c:v>3.2453800194525497</c:v>
                </c:pt>
                <c:pt idx="4">
                  <c:v>2.832846410684474</c:v>
                </c:pt>
                <c:pt idx="5">
                  <c:v>2.5758036490008687</c:v>
                </c:pt>
                <c:pt idx="6">
                  <c:v>2.8402999062792875</c:v>
                </c:pt>
                <c:pt idx="7">
                  <c:v>3.5430654459138693</c:v>
                </c:pt>
                <c:pt idx="8">
                  <c:v>3.0518715561466845</c:v>
                </c:pt>
                <c:pt idx="9">
                  <c:v>2.8442896092093304</c:v>
                </c:pt>
                <c:pt idx="10">
                  <c:v>2.355100841981594</c:v>
                </c:pt>
                <c:pt idx="11">
                  <c:v>2.6187499999999999</c:v>
                </c:pt>
                <c:pt idx="12">
                  <c:v>2.9240301210561435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456-4305-BEA5-38DE663D602F}"/>
            </c:ext>
          </c:extLst>
        </c:ser>
        <c:ser>
          <c:idx val="0"/>
          <c:order val="2"/>
          <c:tx>
            <c:strRef>
              <c:f>'EM evol menusual lugar resd'!$I$95:$J$95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456-4305-BEA5-38DE663D602F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resd'!$I$97:$I$109</c:f>
              <c:numCache>
                <c:formatCode>0.00</c:formatCode>
                <c:ptCount val="13"/>
                <c:pt idx="0">
                  <c:v>2.6767302538231119</c:v>
                </c:pt>
                <c:pt idx="1">
                  <c:v>2.5131739661490142</c:v>
                </c:pt>
                <c:pt idx="2">
                  <c:v>2.2960590694778045</c:v>
                </c:pt>
                <c:pt idx="3">
                  <c:v>2.5470182046453234</c:v>
                </c:pt>
                <c:pt idx="4">
                  <c:v>2.6949461777047983</c:v>
                </c:pt>
                <c:pt idx="5">
                  <c:v>2.7010235658176627</c:v>
                </c:pt>
                <c:pt idx="6">
                  <c:v>2.9056002682763244</c:v>
                </c:pt>
                <c:pt idx="7">
                  <c:v>3.5911330049261085</c:v>
                </c:pt>
                <c:pt idx="8">
                  <c:v>2.8871153529702154</c:v>
                </c:pt>
                <c:pt idx="9">
                  <c:v>2.6849935316946958</c:v>
                </c:pt>
                <c:pt idx="10">
                  <c:v>2.2949812495013164</c:v>
                </c:pt>
                <c:pt idx="11">
                  <c:v>2.4013941102756893</c:v>
                </c:pt>
                <c:pt idx="12">
                  <c:v>2.6094646730263538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456-4305-BEA5-38DE663D602F}"/>
            </c:ext>
          </c:extLst>
        </c:ser>
        <c:ser>
          <c:idx val="1"/>
          <c:order val="3"/>
          <c:tx>
            <c:strRef>
              <c:f>'EM evol menusual lugar resd'!$K$95:$L$95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456-4305-BEA5-38DE663D602F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7456-4305-BEA5-38DE663D602F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resd'!$K$97:$K$109</c:f>
              <c:numCache>
                <c:formatCode>0.00</c:formatCode>
                <c:ptCount val="13"/>
                <c:pt idx="0">
                  <c:v>2.5023995612230907</c:v>
                </c:pt>
                <c:pt idx="1">
                  <c:v>2.3571153698145153</c:v>
                </c:pt>
                <c:pt idx="2">
                  <c:v>2.5069282136894824</c:v>
                </c:pt>
                <c:pt idx="3">
                  <c:v>2.4853723404255321</c:v>
                </c:pt>
                <c:pt idx="4">
                  <c:v>3.1050967996839196</c:v>
                </c:pt>
                <c:pt idx="5">
                  <c:v>2.864261614326499</c:v>
                </c:pt>
                <c:pt idx="6">
                  <c:v>3.0520015698587128</c:v>
                </c:pt>
                <c:pt idx="12">
                  <c:v>2.5864140332939258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456-4305-BEA5-38DE663D60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resd'!$C$95:$D$95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7456-4305-BEA5-38DE663D602F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resd'!$C$97:$C$109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2.0474873213462423</c:v>
                      </c:pt>
                      <c:pt idx="1">
                        <c:v>1.9387617765814267</c:v>
                      </c:pt>
                      <c:pt idx="2">
                        <c:v>2.4245351364404732</c:v>
                      </c:pt>
                      <c:pt idx="3">
                        <c:v>2.3802021403091556</c:v>
                      </c:pt>
                      <c:pt idx="4">
                        <c:v>2.2334019557385485</c:v>
                      </c:pt>
                      <c:pt idx="5">
                        <c:v>2.3079900470002763</c:v>
                      </c:pt>
                      <c:pt idx="6">
                        <c:v>2.3885906040268456</c:v>
                      </c:pt>
                      <c:pt idx="7">
                        <c:v>2.9732067510548523</c:v>
                      </c:pt>
                      <c:pt idx="8">
                        <c:v>2.5249999999999999</c:v>
                      </c:pt>
                      <c:pt idx="9">
                        <c:v>2.6516457126712814</c:v>
                      </c:pt>
                      <c:pt idx="10">
                        <c:v>2.6218398130444021</c:v>
                      </c:pt>
                      <c:pt idx="11">
                        <c:v>3.0066280033140016</c:v>
                      </c:pt>
                      <c:pt idx="12">
                        <c:v>2.5550325790187771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7456-4305-BEA5-38DE663D602F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resd'!$L$96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456-4305-BEA5-38DE663D602F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456-4305-BEA5-38DE663D602F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456-4305-BEA5-38DE663D602F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456-4305-BEA5-38DE663D602F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456-4305-BEA5-38DE663D602F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456-4305-BEA5-38DE663D602F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456-4305-BEA5-38DE663D602F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456-4305-BEA5-38DE663D602F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456-4305-BEA5-38DE663D602F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456-4305-BEA5-38DE663D602F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456-4305-BEA5-38DE663D602F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7456-4305-BEA5-38DE663D602F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7456-4305-BEA5-38DE663D602F}"/>
              </c:ext>
            </c:extLst>
          </c:dPt>
          <c:cat>
            <c:strRef>
              <c:f>'EM evol menusual lugar resd'!$B$97:$B$108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resd'!$L$97:$L$109</c:f>
              <c:numCache>
                <c:formatCode>0.00</c:formatCode>
                <c:ptCount val="13"/>
                <c:pt idx="0">
                  <c:v>-0.17433069260002121</c:v>
                </c:pt>
                <c:pt idx="1">
                  <c:v>-0.15605859633449892</c:v>
                </c:pt>
                <c:pt idx="2">
                  <c:v>0.21086914421167791</c:v>
                </c:pt>
                <c:pt idx="3">
                  <c:v>-6.1645864219791235E-2</c:v>
                </c:pt>
                <c:pt idx="4">
                  <c:v>0.41015062197912133</c:v>
                </c:pt>
                <c:pt idx="5">
                  <c:v>0.16323804850883628</c:v>
                </c:pt>
                <c:pt idx="6">
                  <c:v>0.1464013015823884</c:v>
                </c:pt>
                <c:pt idx="12">
                  <c:v>4.9394570227394574E-3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7456-4305-BEA5-38DE663D60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resd'!$G$117:$H$117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154-43C2-9D5E-77DF12906420}"/>
              </c:ext>
            </c:extLst>
          </c:dPt>
          <c:val>
            <c:numRef>
              <c:f>'EM evol menusual lugar resd'!$G$119:$G$131</c:f>
              <c:numCache>
                <c:formatCode>0.00</c:formatCode>
                <c:ptCount val="13"/>
                <c:pt idx="0">
                  <c:v>3.6348208673790068</c:v>
                </c:pt>
                <c:pt idx="1">
                  <c:v>3.0872056015276894</c:v>
                </c:pt>
                <c:pt idx="2">
                  <c:v>4.0447897623400362</c:v>
                </c:pt>
                <c:pt idx="3">
                  <c:v>5.2445652173913047</c:v>
                </c:pt>
                <c:pt idx="4">
                  <c:v>3.4363636363636365</c:v>
                </c:pt>
                <c:pt idx="5">
                  <c:v>2.1683748169838948</c:v>
                </c:pt>
                <c:pt idx="6">
                  <c:v>3.1173553719008265</c:v>
                </c:pt>
                <c:pt idx="7">
                  <c:v>3.9154135338345863</c:v>
                </c:pt>
                <c:pt idx="8">
                  <c:v>3.7929373996789728</c:v>
                </c:pt>
                <c:pt idx="9">
                  <c:v>2.9451612903225808</c:v>
                </c:pt>
                <c:pt idx="10">
                  <c:v>2.8123827392120075</c:v>
                </c:pt>
                <c:pt idx="11">
                  <c:v>3.14419795221843</c:v>
                </c:pt>
                <c:pt idx="12">
                  <c:v>3.4241430979584191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154-43C2-9D5E-77DF12906420}"/>
            </c:ext>
          </c:extLst>
        </c:ser>
        <c:ser>
          <c:idx val="0"/>
          <c:order val="2"/>
          <c:tx>
            <c:strRef>
              <c:f>'EM evol menusual lugar resd'!$I$117:$J$117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154-43C2-9D5E-77DF12906420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resd'!$I$119:$I$131</c:f>
              <c:numCache>
                <c:formatCode>0.00</c:formatCode>
                <c:ptCount val="13"/>
                <c:pt idx="0">
                  <c:v>3.0897357098955132</c:v>
                </c:pt>
                <c:pt idx="1">
                  <c:v>3.2123893805309733</c:v>
                </c:pt>
                <c:pt idx="2">
                  <c:v>2.5038022813688214</c:v>
                </c:pt>
                <c:pt idx="3">
                  <c:v>3.081967213114754</c:v>
                </c:pt>
                <c:pt idx="4">
                  <c:v>2.8464646464646464</c:v>
                </c:pt>
                <c:pt idx="5">
                  <c:v>2.9555555555555557</c:v>
                </c:pt>
                <c:pt idx="6">
                  <c:v>3.04</c:v>
                </c:pt>
                <c:pt idx="7">
                  <c:v>3.1906976744186046</c:v>
                </c:pt>
                <c:pt idx="8">
                  <c:v>3.1057046979865772</c:v>
                </c:pt>
                <c:pt idx="9">
                  <c:v>2.8365155131264919</c:v>
                </c:pt>
                <c:pt idx="10">
                  <c:v>2.8414959928762245</c:v>
                </c:pt>
                <c:pt idx="11">
                  <c:v>2.7615720524017466</c:v>
                </c:pt>
                <c:pt idx="12">
                  <c:v>2.9500765110941085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154-43C2-9D5E-77DF12906420}"/>
            </c:ext>
          </c:extLst>
        </c:ser>
        <c:ser>
          <c:idx val="1"/>
          <c:order val="3"/>
          <c:tx>
            <c:strRef>
              <c:f>'EM evol menusual lugar resd'!$K$117:$L$117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154-43C2-9D5E-77DF12906420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154-43C2-9D5E-77DF12906420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resd'!$K$119:$K$131</c:f>
              <c:numCache>
                <c:formatCode>0.00</c:formatCode>
                <c:ptCount val="13"/>
                <c:pt idx="0">
                  <c:v>3.3561197916666665</c:v>
                </c:pt>
                <c:pt idx="1">
                  <c:v>2.7242647058823528</c:v>
                </c:pt>
                <c:pt idx="2">
                  <c:v>3.2110874200426438</c:v>
                </c:pt>
                <c:pt idx="3">
                  <c:v>2.8283582089552239</c:v>
                </c:pt>
                <c:pt idx="4">
                  <c:v>3.6743648960739028</c:v>
                </c:pt>
                <c:pt idx="5">
                  <c:v>3</c:v>
                </c:pt>
                <c:pt idx="6">
                  <c:v>3.0812720848056538</c:v>
                </c:pt>
                <c:pt idx="12">
                  <c:v>3.1012463718627283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154-43C2-9D5E-77DF129064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resd'!$C$117:$D$117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154-43C2-9D5E-77DF12906420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resd'!$C$119:$C$131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2.0192307692307692</c:v>
                      </c:pt>
                      <c:pt idx="1">
                        <c:v>2.23943661971831</c:v>
                      </c:pt>
                      <c:pt idx="2">
                        <c:v>4.3566433566433567</c:v>
                      </c:pt>
                      <c:pt idx="3">
                        <c:v>3.0357142857142856</c:v>
                      </c:pt>
                      <c:pt idx="4">
                        <c:v>2.6268656716417911</c:v>
                      </c:pt>
                      <c:pt idx="5">
                        <c:v>2.7709923664122136</c:v>
                      </c:pt>
                      <c:pt idx="6">
                        <c:v>2.4885057471264367</c:v>
                      </c:pt>
                      <c:pt idx="7">
                        <c:v>3.496</c:v>
                      </c:pt>
                      <c:pt idx="8">
                        <c:v>3.4175084175084174</c:v>
                      </c:pt>
                      <c:pt idx="9">
                        <c:v>3.5809682804674456</c:v>
                      </c:pt>
                      <c:pt idx="10">
                        <c:v>3.5132867132867132</c:v>
                      </c:pt>
                      <c:pt idx="11">
                        <c:v>3.325072886297376</c:v>
                      </c:pt>
                      <c:pt idx="12">
                        <c:v>3.3324340527577938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154-43C2-9D5E-77DF12906420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resd'!$L$118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154-43C2-9D5E-77DF12906420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154-43C2-9D5E-77DF12906420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154-43C2-9D5E-77DF12906420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154-43C2-9D5E-77DF12906420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154-43C2-9D5E-77DF12906420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154-43C2-9D5E-77DF12906420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154-43C2-9D5E-77DF12906420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154-43C2-9D5E-77DF12906420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154-43C2-9D5E-77DF12906420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154-43C2-9D5E-77DF12906420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154-43C2-9D5E-77DF12906420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154-43C2-9D5E-77DF12906420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154-43C2-9D5E-77DF12906420}"/>
              </c:ext>
            </c:extLst>
          </c:dPt>
          <c:cat>
            <c:strRef>
              <c:f>'EM evol menusual lugar resd'!$B$119:$B$130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resd'!$L$119:$L$131</c:f>
              <c:numCache>
                <c:formatCode>0.00</c:formatCode>
                <c:ptCount val="13"/>
                <c:pt idx="0">
                  <c:v>0.26638408177115336</c:v>
                </c:pt>
                <c:pt idx="1">
                  <c:v>-0.48812467464862053</c:v>
                </c:pt>
                <c:pt idx="2">
                  <c:v>0.70728513867382237</c:v>
                </c:pt>
                <c:pt idx="3">
                  <c:v>-0.25360900415953003</c:v>
                </c:pt>
                <c:pt idx="4">
                  <c:v>0.82790024960925646</c:v>
                </c:pt>
                <c:pt idx="5">
                  <c:v>4.4444444444444287E-2</c:v>
                </c:pt>
                <c:pt idx="6">
                  <c:v>4.1272084805653808E-2</c:v>
                </c:pt>
                <c:pt idx="12">
                  <c:v>0.12088952131435704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154-43C2-9D5E-77DF129064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6198377665"/>
          <c:y val="0.14880802061904425"/>
          <c:w val="0.85077925409699728"/>
          <c:h val="0.44673508775094251"/>
        </c:manualLayout>
      </c:layout>
      <c:lineChart>
        <c:grouping val="standard"/>
        <c:varyColors val="0"/>
        <c:ser>
          <c:idx val="5"/>
          <c:order val="2"/>
          <c:tx>
            <c:strRef>
              <c:f>'EM evol menusual lugar resd'!$G$139:$H$139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E0-4C45-BAC3-173139A31572}"/>
              </c:ext>
            </c:extLst>
          </c:dPt>
          <c:val>
            <c:numRef>
              <c:f>'EM evol menusual lugar resd'!$G$141:$G$153</c:f>
              <c:numCache>
                <c:formatCode>0.00</c:formatCode>
                <c:ptCount val="13"/>
                <c:pt idx="0">
                  <c:v>3.0904954499494437</c:v>
                </c:pt>
                <c:pt idx="1">
                  <c:v>2.8136952498457743</c:v>
                </c:pt>
                <c:pt idx="2">
                  <c:v>3.3477758521086076</c:v>
                </c:pt>
                <c:pt idx="3">
                  <c:v>3.0526849037487334</c:v>
                </c:pt>
                <c:pt idx="4">
                  <c:v>3.6533333333333333</c:v>
                </c:pt>
                <c:pt idx="5">
                  <c:v>3.1690821256038646</c:v>
                </c:pt>
                <c:pt idx="6">
                  <c:v>3.1252525252525252</c:v>
                </c:pt>
                <c:pt idx="7">
                  <c:v>4.5181674565560819</c:v>
                </c:pt>
                <c:pt idx="8">
                  <c:v>4.2538461538461538</c:v>
                </c:pt>
                <c:pt idx="9">
                  <c:v>4.0418250950570345</c:v>
                </c:pt>
                <c:pt idx="10">
                  <c:v>2.7167487684729066</c:v>
                </c:pt>
                <c:pt idx="11">
                  <c:v>2.922064244339126</c:v>
                </c:pt>
                <c:pt idx="12">
                  <c:v>3.2118560231337039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E0-4C45-BAC3-173139A31572}"/>
            </c:ext>
          </c:extLst>
        </c:ser>
        <c:ser>
          <c:idx val="0"/>
          <c:order val="3"/>
          <c:tx>
            <c:strRef>
              <c:f>'EM evol menusual lugar resd'!$I$139:$J$139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0E0-4C45-BAC3-173139A31572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resd'!$I$141:$I$153</c:f>
              <c:numCache>
                <c:formatCode>0.00</c:formatCode>
                <c:ptCount val="13"/>
                <c:pt idx="0">
                  <c:v>2.6489778164419313</c:v>
                </c:pt>
                <c:pt idx="1">
                  <c:v>2.592752839372634</c:v>
                </c:pt>
                <c:pt idx="2">
                  <c:v>2.3437806072477962</c:v>
                </c:pt>
                <c:pt idx="3">
                  <c:v>3.4611503531786076</c:v>
                </c:pt>
                <c:pt idx="4">
                  <c:v>2.9536290322580645</c:v>
                </c:pt>
                <c:pt idx="5">
                  <c:v>3.1378299120234603</c:v>
                </c:pt>
                <c:pt idx="6">
                  <c:v>3.4524271844660195</c:v>
                </c:pt>
                <c:pt idx="7">
                  <c:v>4.0520607375271149</c:v>
                </c:pt>
                <c:pt idx="8">
                  <c:v>3.5015060240963853</c:v>
                </c:pt>
                <c:pt idx="9">
                  <c:v>3.105069124423963</c:v>
                </c:pt>
                <c:pt idx="10">
                  <c:v>2.802463054187192</c:v>
                </c:pt>
                <c:pt idx="11">
                  <c:v>2.4776853252647504</c:v>
                </c:pt>
                <c:pt idx="12">
                  <c:v>2.8030745281183109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E0-4C45-BAC3-173139A31572}"/>
            </c:ext>
          </c:extLst>
        </c:ser>
        <c:ser>
          <c:idx val="1"/>
          <c:order val="4"/>
          <c:tx>
            <c:strRef>
              <c:f>'EM evol menusual lugar resd'!$K$139:$L$139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0E0-4C45-BAC3-173139A3157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0E0-4C45-BAC3-173139A31572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resd'!$K$141:$K$153</c:f>
              <c:numCache>
                <c:formatCode>0.00</c:formatCode>
                <c:ptCount val="13"/>
                <c:pt idx="0">
                  <c:v>2.5611370716510904</c:v>
                </c:pt>
                <c:pt idx="1">
                  <c:v>2.5432866770347329</c:v>
                </c:pt>
                <c:pt idx="2">
                  <c:v>2.716786355475763</c:v>
                </c:pt>
                <c:pt idx="3">
                  <c:v>2.8779631255487268</c:v>
                </c:pt>
                <c:pt idx="4">
                  <c:v>2.7263581488933601</c:v>
                </c:pt>
                <c:pt idx="5">
                  <c:v>3.1467391304347827</c:v>
                </c:pt>
                <c:pt idx="6">
                  <c:v>3.3455882352941178</c:v>
                </c:pt>
                <c:pt idx="12">
                  <c:v>2.7024187370033927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0E0-4C45-BAC3-173139A31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resd'!$C$139:$D$139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0E0-4C45-BAC3-173139A3157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resd'!$C$141:$C$153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2.1025641025641026</c:v>
                      </c:pt>
                      <c:pt idx="1">
                        <c:v>1.8482142857142858</c:v>
                      </c:pt>
                      <c:pt idx="2">
                        <c:v>2.0061475409836067</c:v>
                      </c:pt>
                      <c:pt idx="3">
                        <c:v>3.1631419939577041</c:v>
                      </c:pt>
                      <c:pt idx="4">
                        <c:v>1.9887005649717515</c:v>
                      </c:pt>
                      <c:pt idx="5">
                        <c:v>2.6368421052631579</c:v>
                      </c:pt>
                      <c:pt idx="6">
                        <c:v>2.7804347826086957</c:v>
                      </c:pt>
                      <c:pt idx="7">
                        <c:v>4.0877192982456139</c:v>
                      </c:pt>
                      <c:pt idx="8">
                        <c:v>3.1950718685831623</c:v>
                      </c:pt>
                      <c:pt idx="9">
                        <c:v>3.2486938349007315</c:v>
                      </c:pt>
                      <c:pt idx="10">
                        <c:v>3.2394548994159638</c:v>
                      </c:pt>
                      <c:pt idx="11">
                        <c:v>4.466221232368226</c:v>
                      </c:pt>
                      <c:pt idx="12">
                        <c:v>3.2031719989062073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0E0-4C45-BAC3-173139A31572}"/>
                  </c:ext>
                </c:extLst>
              </c15:ser>
            </c15:filteredLineSeries>
            <c15:filteredLineSeries>
              <c15:ser>
                <c:idx val="6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'EM evol menusual lugar resd'!$E$139:$F$139</c15:sqref>
                        </c15:formulaRef>
                      </c:ext>
                    </c:extLst>
                    <c:strCache>
                      <c:ptCount val="1"/>
                      <c:pt idx="0">
                        <c:v>2023</c:v>
                      </c:pt>
                    </c:strCache>
                  </c:strRef>
                </c:tx>
                <c:spPr>
                  <a:ln w="25400" cap="rnd">
                    <a:solidFill>
                      <a:srgbClr val="0047BA">
                        <a:lumMod val="20000"/>
                        <a:lumOff val="80000"/>
                      </a:srgbClr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rgbClr val="0047BA">
                        <a:lumMod val="20000"/>
                        <a:lumOff val="80000"/>
                      </a:srgbClr>
                    </a:solidFill>
                    <a:ln w="9525"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solidFill>
                        <a:srgbClr val="0047BA">
                          <a:lumMod val="20000"/>
                          <a:lumOff val="80000"/>
                        </a:srgbClr>
                      </a:solidFill>
                      <a:ln w="9525">
                        <a:solidFill>
                          <a:srgbClr val="0047BA">
                            <a:lumMod val="20000"/>
                            <a:lumOff val="80000"/>
                          </a:srgbClr>
                        </a:solidFill>
                      </a:ln>
                      <a:effectLst/>
                    </c:spPr>
                  </c:marker>
                  <c:bubble3D val="0"/>
                  <c:spPr>
                    <a:ln w="25400" cap="rnd">
                      <a:noFill/>
                      <a:round/>
                    </a:ln>
                    <a:effectLst/>
                  </c:spPr>
                  <c:extLst xmlns:c15="http://schemas.microsoft.com/office/drawing/2012/chart">
                    <c:ext xmlns:c16="http://schemas.microsoft.com/office/drawing/2014/chart" uri="{C3380CC4-5D6E-409C-BE32-E72D297353CC}">
                      <c16:uniqueId val="{0000001D-20E0-4C45-BAC3-173139A31572}"/>
                    </c:ext>
                  </c:extLst>
                </c:dP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('EM evol menusual lugar resd'!$E$141:$E$152,'EM evol menusual lugar resd'!$E$153)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3.0078160919540231</c:v>
                      </c:pt>
                      <c:pt idx="1">
                        <c:v>2.9518987341772154</c:v>
                      </c:pt>
                      <c:pt idx="2">
                        <c:v>3.0681431005110733</c:v>
                      </c:pt>
                      <c:pt idx="3">
                        <c:v>2.8441330998248686</c:v>
                      </c:pt>
                      <c:pt idx="4">
                        <c:v>3.4113924050632911</c:v>
                      </c:pt>
                      <c:pt idx="5">
                        <c:v>2.2542372881355934</c:v>
                      </c:pt>
                      <c:pt idx="6">
                        <c:v>3.7381889763779528</c:v>
                      </c:pt>
                      <c:pt idx="7">
                        <c:v>5.3590664272890489</c:v>
                      </c:pt>
                      <c:pt idx="8">
                        <c:v>3.9280575539568345</c:v>
                      </c:pt>
                      <c:pt idx="9">
                        <c:v>3.7243816254416959</c:v>
                      </c:pt>
                      <c:pt idx="10">
                        <c:v>3.3473531544597535</c:v>
                      </c:pt>
                      <c:pt idx="11">
                        <c:v>3.2475832438238452</c:v>
                      </c:pt>
                      <c:pt idx="12">
                        <c:v>3.2618099887345098</c:v>
                      </c:pt>
                    </c:numCache>
                  </c:numRef>
                </c:val>
                <c:smooth val="0"/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E-20E0-4C45-BAC3-173139A3157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5"/>
          <c:tx>
            <c:strRef>
              <c:f>'EM evol menusual lugar resd'!$L$140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0E0-4C45-BAC3-173139A3157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0E0-4C45-BAC3-173139A3157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0E0-4C45-BAC3-173139A3157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0E0-4C45-BAC3-173139A3157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0E0-4C45-BAC3-173139A3157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0E0-4C45-BAC3-173139A3157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0E0-4C45-BAC3-173139A3157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0E0-4C45-BAC3-173139A3157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0E0-4C45-BAC3-173139A3157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0E0-4C45-BAC3-173139A3157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0E0-4C45-BAC3-173139A3157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0E0-4C45-BAC3-173139A3157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0E0-4C45-BAC3-173139A31572}"/>
              </c:ext>
            </c:extLst>
          </c:dPt>
          <c:cat>
            <c:strRef>
              <c:f>'EM evol menusual lugar resd'!$B$141:$B$152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resd'!$L$141:$L$153</c:f>
              <c:numCache>
                <c:formatCode>0.00</c:formatCode>
                <c:ptCount val="13"/>
                <c:pt idx="0">
                  <c:v>-8.7840744790840919E-2</c:v>
                </c:pt>
                <c:pt idx="1">
                  <c:v>-4.9466162337901132E-2</c:v>
                </c:pt>
                <c:pt idx="2">
                  <c:v>0.37300574822796673</c:v>
                </c:pt>
                <c:pt idx="3">
                  <c:v>-0.58318722762988084</c:v>
                </c:pt>
                <c:pt idx="4">
                  <c:v>-0.22727088336470436</c:v>
                </c:pt>
                <c:pt idx="5">
                  <c:v>8.9092184113224171E-3</c:v>
                </c:pt>
                <c:pt idx="6">
                  <c:v>-0.10683894917190173</c:v>
                </c:pt>
                <c:pt idx="12">
                  <c:v>-4.1399380891837367E-2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0E0-4C45-BAC3-173139A315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resd'!$G$161:$H$161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7FA-4E11-B9EA-CB4C6DE41949}"/>
              </c:ext>
            </c:extLst>
          </c:dPt>
          <c:val>
            <c:numRef>
              <c:f>'EM evol menusual lugar resd'!$G$163:$G$175</c:f>
              <c:numCache>
                <c:formatCode>0.00</c:formatCode>
                <c:ptCount val="13"/>
                <c:pt idx="0">
                  <c:v>3.3650975889781858</c:v>
                </c:pt>
                <c:pt idx="1">
                  <c:v>3.1713917525773194</c:v>
                </c:pt>
                <c:pt idx="2">
                  <c:v>3.0355220667384284</c:v>
                </c:pt>
                <c:pt idx="3">
                  <c:v>3.2119658119658121</c:v>
                </c:pt>
                <c:pt idx="4">
                  <c:v>3.05</c:v>
                </c:pt>
                <c:pt idx="5">
                  <c:v>2.4794520547945207</c:v>
                </c:pt>
                <c:pt idx="6">
                  <c:v>2.9655963302752295</c:v>
                </c:pt>
                <c:pt idx="7">
                  <c:v>3.7306967984934087</c:v>
                </c:pt>
                <c:pt idx="8">
                  <c:v>3.4807370184254607</c:v>
                </c:pt>
                <c:pt idx="9">
                  <c:v>2.5513196480938416</c:v>
                </c:pt>
                <c:pt idx="10">
                  <c:v>2.5370138017565873</c:v>
                </c:pt>
                <c:pt idx="11">
                  <c:v>2.7957497048406141</c:v>
                </c:pt>
                <c:pt idx="12">
                  <c:v>3.0756958192616746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FA-4E11-B9EA-CB4C6DE41949}"/>
            </c:ext>
          </c:extLst>
        </c:ser>
        <c:ser>
          <c:idx val="0"/>
          <c:order val="2"/>
          <c:tx>
            <c:strRef>
              <c:f>'EM evol menusual lugar resd'!$I$161:$J$161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7FA-4E11-B9EA-CB4C6DE41949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resd'!$I$163:$I$175</c:f>
              <c:numCache>
                <c:formatCode>0.00</c:formatCode>
                <c:ptCount val="13"/>
                <c:pt idx="0">
                  <c:v>2.6550116550116551</c:v>
                </c:pt>
                <c:pt idx="1">
                  <c:v>2.4119850187265919</c:v>
                </c:pt>
                <c:pt idx="2">
                  <c:v>2.5060240963855422</c:v>
                </c:pt>
                <c:pt idx="3">
                  <c:v>2.6920634920634923</c:v>
                </c:pt>
                <c:pt idx="4">
                  <c:v>2.6948275862068964</c:v>
                </c:pt>
                <c:pt idx="5">
                  <c:v>2.3545918367346941</c:v>
                </c:pt>
                <c:pt idx="6">
                  <c:v>2.8313413014608235</c:v>
                </c:pt>
                <c:pt idx="7">
                  <c:v>4.3499520613614573</c:v>
                </c:pt>
                <c:pt idx="8">
                  <c:v>3.2878998609179417</c:v>
                </c:pt>
                <c:pt idx="9">
                  <c:v>2.9884169884169882</c:v>
                </c:pt>
                <c:pt idx="10">
                  <c:v>2.5429141716566868</c:v>
                </c:pt>
                <c:pt idx="11">
                  <c:v>2.6145077720207253</c:v>
                </c:pt>
                <c:pt idx="12">
                  <c:v>2.8670023075309419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7FA-4E11-B9EA-CB4C6DE41949}"/>
            </c:ext>
          </c:extLst>
        </c:ser>
        <c:ser>
          <c:idx val="1"/>
          <c:order val="3"/>
          <c:tx>
            <c:strRef>
              <c:f>'EM evol menusual lugar resd'!$K$161:$L$161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7FA-4E11-B9EA-CB4C6DE41949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7FA-4E11-B9EA-CB4C6DE41949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resd'!$K$163:$K$175</c:f>
              <c:numCache>
                <c:formatCode>0.00</c:formatCode>
                <c:ptCount val="13"/>
                <c:pt idx="0">
                  <c:v>2.5772870662460567</c:v>
                </c:pt>
                <c:pt idx="1">
                  <c:v>2.6081677704194259</c:v>
                </c:pt>
                <c:pt idx="2">
                  <c:v>2.4431486880466471</c:v>
                </c:pt>
                <c:pt idx="3">
                  <c:v>2.7707509881422925</c:v>
                </c:pt>
                <c:pt idx="4">
                  <c:v>2.8373382624768948</c:v>
                </c:pt>
                <c:pt idx="5">
                  <c:v>3.3670886075949369</c:v>
                </c:pt>
                <c:pt idx="6">
                  <c:v>3.6976351351351351</c:v>
                </c:pt>
                <c:pt idx="12">
                  <c:v>2.7913231252453867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7FA-4E11-B9EA-CB4C6DE41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resd'!$C$161:$D$161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7FA-4E11-B9EA-CB4C6DE41949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resd'!$C$163:$C$175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2.2834645669291338</c:v>
                      </c:pt>
                      <c:pt idx="1">
                        <c:v>1.8796561604584527</c:v>
                      </c:pt>
                      <c:pt idx="2">
                        <c:v>1.9816176470588236</c:v>
                      </c:pt>
                      <c:pt idx="3">
                        <c:v>2.4818840579710146</c:v>
                      </c:pt>
                      <c:pt idx="4">
                        <c:v>2.5666251556662516</c:v>
                      </c:pt>
                      <c:pt idx="5">
                        <c:v>2.5984848484848486</c:v>
                      </c:pt>
                      <c:pt idx="6">
                        <c:v>2.5320623916811091</c:v>
                      </c:pt>
                      <c:pt idx="7">
                        <c:v>3.0444444444444443</c:v>
                      </c:pt>
                      <c:pt idx="8">
                        <c:v>2.6835443037974684</c:v>
                      </c:pt>
                      <c:pt idx="9">
                        <c:v>2.5418641390205372</c:v>
                      </c:pt>
                      <c:pt idx="10">
                        <c:v>2.5369515011547343</c:v>
                      </c:pt>
                      <c:pt idx="11">
                        <c:v>2.8218085106382977</c:v>
                      </c:pt>
                      <c:pt idx="12">
                        <c:v>2.5581721334454723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7FA-4E11-B9EA-CB4C6DE41949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resd'!$L$162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7FA-4E11-B9EA-CB4C6DE41949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7FA-4E11-B9EA-CB4C6DE41949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7FA-4E11-B9EA-CB4C6DE41949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7FA-4E11-B9EA-CB4C6DE41949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7FA-4E11-B9EA-CB4C6DE41949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7FA-4E11-B9EA-CB4C6DE41949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7FA-4E11-B9EA-CB4C6DE41949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7FA-4E11-B9EA-CB4C6DE41949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7FA-4E11-B9EA-CB4C6DE41949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7FA-4E11-B9EA-CB4C6DE41949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7FA-4E11-B9EA-CB4C6DE41949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7FA-4E11-B9EA-CB4C6DE41949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7FA-4E11-B9EA-CB4C6DE41949}"/>
              </c:ext>
            </c:extLst>
          </c:dPt>
          <c:cat>
            <c:strRef>
              <c:f>'EM evol menusual lugar resd'!$B$163:$B$174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resd'!$L$163:$L$175</c:f>
              <c:numCache>
                <c:formatCode>0.00</c:formatCode>
                <c:ptCount val="13"/>
                <c:pt idx="0">
                  <c:v>-7.7724588765598401E-2</c:v>
                </c:pt>
                <c:pt idx="1">
                  <c:v>0.19618275169283406</c:v>
                </c:pt>
                <c:pt idx="2">
                  <c:v>-6.2875408338895156E-2</c:v>
                </c:pt>
                <c:pt idx="3">
                  <c:v>7.8687496078800212E-2</c:v>
                </c:pt>
                <c:pt idx="4">
                  <c:v>0.14251067626999836</c:v>
                </c:pt>
                <c:pt idx="5">
                  <c:v>1.0124967708602428</c:v>
                </c:pt>
                <c:pt idx="6">
                  <c:v>0.86629383367431156</c:v>
                </c:pt>
                <c:pt idx="12">
                  <c:v>0.19784659382136116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7FA-4E11-B9EA-CB4C6DE41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resd'!$G$183:$H$183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1B5-443A-885D-AD2E87787D81}"/>
              </c:ext>
            </c:extLst>
          </c:dPt>
          <c:val>
            <c:numRef>
              <c:f>'EM evol menusual lugar resd'!$G$185:$G$197</c:f>
              <c:numCache>
                <c:formatCode>0.00</c:formatCode>
                <c:ptCount val="13"/>
                <c:pt idx="0">
                  <c:v>2.8692579505300353</c:v>
                </c:pt>
                <c:pt idx="1">
                  <c:v>2.9292929292929295</c:v>
                </c:pt>
                <c:pt idx="2">
                  <c:v>2.9226519337016574</c:v>
                </c:pt>
                <c:pt idx="3">
                  <c:v>4.037383177570093</c:v>
                </c:pt>
                <c:pt idx="4">
                  <c:v>2.7593984962406015</c:v>
                </c:pt>
                <c:pt idx="5">
                  <c:v>2.324786324786325</c:v>
                </c:pt>
                <c:pt idx="6">
                  <c:v>2.6422764227642275</c:v>
                </c:pt>
                <c:pt idx="7">
                  <c:v>4.1339285714285712</c:v>
                </c:pt>
                <c:pt idx="8">
                  <c:v>3.06993006993007</c:v>
                </c:pt>
                <c:pt idx="9">
                  <c:v>2.3806451612903228</c:v>
                </c:pt>
                <c:pt idx="10">
                  <c:v>2.2638297872340427</c:v>
                </c:pt>
                <c:pt idx="11">
                  <c:v>2.6193548387096772</c:v>
                </c:pt>
                <c:pt idx="12">
                  <c:v>2.8288030519790177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1B5-443A-885D-AD2E87787D81}"/>
            </c:ext>
          </c:extLst>
        </c:ser>
        <c:ser>
          <c:idx val="0"/>
          <c:order val="2"/>
          <c:tx>
            <c:strRef>
              <c:f>'EM evol menusual lugar resd'!$I$183:$J$183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1B5-443A-885D-AD2E87787D8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resd'!$I$185:$I$197</c:f>
              <c:numCache>
                <c:formatCode>0.00</c:formatCode>
                <c:ptCount val="13"/>
                <c:pt idx="0">
                  <c:v>2.8328173374613002</c:v>
                </c:pt>
                <c:pt idx="1">
                  <c:v>2.6576576576576576</c:v>
                </c:pt>
                <c:pt idx="2">
                  <c:v>2.2459016393442623</c:v>
                </c:pt>
                <c:pt idx="3">
                  <c:v>2.1925925925925926</c:v>
                </c:pt>
                <c:pt idx="4">
                  <c:v>2.5947712418300655</c:v>
                </c:pt>
                <c:pt idx="5">
                  <c:v>2.5315315315315314</c:v>
                </c:pt>
                <c:pt idx="6">
                  <c:v>3.4086021505376345</c:v>
                </c:pt>
                <c:pt idx="7">
                  <c:v>2.3281853281853282</c:v>
                </c:pt>
                <c:pt idx="8">
                  <c:v>3.317241379310345</c:v>
                </c:pt>
                <c:pt idx="9">
                  <c:v>2.9246231155778895</c:v>
                </c:pt>
                <c:pt idx="10">
                  <c:v>2.5864197530864197</c:v>
                </c:pt>
                <c:pt idx="11">
                  <c:v>2.6566666666666667</c:v>
                </c:pt>
                <c:pt idx="12">
                  <c:v>2.6870078740157481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1B5-443A-885D-AD2E87787D81}"/>
            </c:ext>
          </c:extLst>
        </c:ser>
        <c:ser>
          <c:idx val="1"/>
          <c:order val="3"/>
          <c:tx>
            <c:strRef>
              <c:f>'EM evol menusual lugar resd'!$K$183:$L$183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1B5-443A-885D-AD2E87787D8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1B5-443A-885D-AD2E87787D81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resd'!$K$185:$K$197</c:f>
              <c:numCache>
                <c:formatCode>0.00</c:formatCode>
                <c:ptCount val="13"/>
                <c:pt idx="0">
                  <c:v>2.3111111111111109</c:v>
                </c:pt>
                <c:pt idx="1">
                  <c:v>2.7683823529411766</c:v>
                </c:pt>
                <c:pt idx="2">
                  <c:v>2.6934306569343067</c:v>
                </c:pt>
                <c:pt idx="3">
                  <c:v>3.4216867469879517</c:v>
                </c:pt>
                <c:pt idx="4">
                  <c:v>3.1</c:v>
                </c:pt>
                <c:pt idx="5">
                  <c:v>2.7625000000000002</c:v>
                </c:pt>
                <c:pt idx="6">
                  <c:v>2.9096385542168677</c:v>
                </c:pt>
                <c:pt idx="12">
                  <c:v>2.7862481315396113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1B5-443A-885D-AD2E87787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resd'!$C$183:$D$183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1B5-443A-885D-AD2E87787D8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resd'!$C$185:$C$197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1.6046511627906976</c:v>
                      </c:pt>
                      <c:pt idx="1">
                        <c:v>2.2702702702702702</c:v>
                      </c:pt>
                      <c:pt idx="2">
                        <c:v>1.65625</c:v>
                      </c:pt>
                      <c:pt idx="3">
                        <c:v>1.8064516129032258</c:v>
                      </c:pt>
                      <c:pt idx="4">
                        <c:v>2.2323232323232323</c:v>
                      </c:pt>
                      <c:pt idx="5">
                        <c:v>2.5396825396825395</c:v>
                      </c:pt>
                      <c:pt idx="6">
                        <c:v>2.5662650602409638</c:v>
                      </c:pt>
                      <c:pt idx="7">
                        <c:v>2.8058252427184467</c:v>
                      </c:pt>
                      <c:pt idx="8">
                        <c:v>2.9885057471264367</c:v>
                      </c:pt>
                      <c:pt idx="9">
                        <c:v>2.3220338983050848</c:v>
                      </c:pt>
                      <c:pt idx="10">
                        <c:v>2.6972704714640199</c:v>
                      </c:pt>
                      <c:pt idx="11">
                        <c:v>2.7487437185929648</c:v>
                      </c:pt>
                      <c:pt idx="12">
                        <c:v>2.5423728813559321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1B5-443A-885D-AD2E87787D8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resd'!$L$184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1B5-443A-885D-AD2E87787D8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1B5-443A-885D-AD2E87787D8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1B5-443A-885D-AD2E87787D8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1B5-443A-885D-AD2E87787D8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1B5-443A-885D-AD2E87787D8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1B5-443A-885D-AD2E87787D8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1B5-443A-885D-AD2E87787D8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1B5-443A-885D-AD2E87787D8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1B5-443A-885D-AD2E87787D8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1B5-443A-885D-AD2E87787D8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1B5-443A-885D-AD2E87787D8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1B5-443A-885D-AD2E87787D8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1B5-443A-885D-AD2E87787D81}"/>
              </c:ext>
            </c:extLst>
          </c:dPt>
          <c:cat>
            <c:strRef>
              <c:f>'EM evol menusual lugar resd'!$B$185:$B$196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resd'!$L$185:$L$197</c:f>
              <c:numCache>
                <c:formatCode>0.00</c:formatCode>
                <c:ptCount val="13"/>
                <c:pt idx="0">
                  <c:v>-0.52170622635018926</c:v>
                </c:pt>
                <c:pt idx="1">
                  <c:v>0.11072469528351903</c:v>
                </c:pt>
                <c:pt idx="2">
                  <c:v>0.44752901759004438</c:v>
                </c:pt>
                <c:pt idx="3">
                  <c:v>1.2290941543953591</c:v>
                </c:pt>
                <c:pt idx="4">
                  <c:v>0.50522875816993462</c:v>
                </c:pt>
                <c:pt idx="5">
                  <c:v>0.23096846846846875</c:v>
                </c:pt>
                <c:pt idx="6">
                  <c:v>-0.49896359632076681</c:v>
                </c:pt>
                <c:pt idx="12">
                  <c:v>0.1023182000849272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1B5-443A-885D-AD2E87787D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resd'!$G$205:$H$205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868-4FA4-A5C4-6E85CE7E4B42}"/>
              </c:ext>
            </c:extLst>
          </c:dPt>
          <c:val>
            <c:numRef>
              <c:f>'EM evol menusual lugar resd'!$G$207:$G$219</c:f>
              <c:numCache>
                <c:formatCode>0.00</c:formatCode>
                <c:ptCount val="13"/>
                <c:pt idx="0">
                  <c:v>3.3443223443223444</c:v>
                </c:pt>
                <c:pt idx="1">
                  <c:v>2.4355828220858897</c:v>
                </c:pt>
                <c:pt idx="2">
                  <c:v>3.1333333333333333</c:v>
                </c:pt>
                <c:pt idx="3">
                  <c:v>2.8167539267015709</c:v>
                </c:pt>
                <c:pt idx="4">
                  <c:v>3.6575342465753424</c:v>
                </c:pt>
                <c:pt idx="5">
                  <c:v>2.592233009708738</c:v>
                </c:pt>
                <c:pt idx="6">
                  <c:v>2.952054794520548</c:v>
                </c:pt>
                <c:pt idx="7">
                  <c:v>5.062176165803109</c:v>
                </c:pt>
                <c:pt idx="8">
                  <c:v>3.4752475247524752</c:v>
                </c:pt>
                <c:pt idx="9">
                  <c:v>4.169354838709677</c:v>
                </c:pt>
                <c:pt idx="10">
                  <c:v>2.3783783783783785</c:v>
                </c:pt>
                <c:pt idx="11">
                  <c:v>3.0121457489878543</c:v>
                </c:pt>
                <c:pt idx="12">
                  <c:v>3.1528013582342953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868-4FA4-A5C4-6E85CE7E4B42}"/>
            </c:ext>
          </c:extLst>
        </c:ser>
        <c:ser>
          <c:idx val="0"/>
          <c:order val="2"/>
          <c:tx>
            <c:strRef>
              <c:f>'EM evol menusual lugar resd'!$I$205:$J$205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868-4FA4-A5C4-6E85CE7E4B42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resd'!$I$207:$I$219</c:f>
              <c:numCache>
                <c:formatCode>0.00</c:formatCode>
                <c:ptCount val="13"/>
                <c:pt idx="0">
                  <c:v>2.9627659574468086</c:v>
                </c:pt>
                <c:pt idx="1">
                  <c:v>2.8980263157894739</c:v>
                </c:pt>
                <c:pt idx="2">
                  <c:v>2.6015936254980079</c:v>
                </c:pt>
                <c:pt idx="3">
                  <c:v>2.8721804511278197</c:v>
                </c:pt>
                <c:pt idx="4">
                  <c:v>3.2900763358778624</c:v>
                </c:pt>
                <c:pt idx="5">
                  <c:v>3.4951456310679609</c:v>
                </c:pt>
                <c:pt idx="6">
                  <c:v>4.0338164251207731</c:v>
                </c:pt>
                <c:pt idx="7">
                  <c:v>4.6287128712871288</c:v>
                </c:pt>
                <c:pt idx="8">
                  <c:v>3.6882129277566542</c:v>
                </c:pt>
                <c:pt idx="9">
                  <c:v>3.274193548387097</c:v>
                </c:pt>
                <c:pt idx="10">
                  <c:v>2.4775641025641026</c:v>
                </c:pt>
                <c:pt idx="11">
                  <c:v>2.7315436241610738</c:v>
                </c:pt>
                <c:pt idx="12">
                  <c:v>3.1659436008676791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868-4FA4-A5C4-6E85CE7E4B42}"/>
            </c:ext>
          </c:extLst>
        </c:ser>
        <c:ser>
          <c:idx val="1"/>
          <c:order val="3"/>
          <c:tx>
            <c:strRef>
              <c:f>'EM evol menusual lugar resd'!$K$205:$L$205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868-4FA4-A5C4-6E85CE7E4B4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868-4FA4-A5C4-6E85CE7E4B42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resd'!$K$207:$K$219</c:f>
              <c:numCache>
                <c:formatCode>0.00</c:formatCode>
                <c:ptCount val="13"/>
                <c:pt idx="0">
                  <c:v>2.7064935064935063</c:v>
                </c:pt>
                <c:pt idx="1">
                  <c:v>2.6038251366120218</c:v>
                </c:pt>
                <c:pt idx="2">
                  <c:v>3.1124999999999998</c:v>
                </c:pt>
                <c:pt idx="3">
                  <c:v>2.6422018348623855</c:v>
                </c:pt>
                <c:pt idx="4">
                  <c:v>2.9022556390977443</c:v>
                </c:pt>
                <c:pt idx="5">
                  <c:v>3.7647058823529411</c:v>
                </c:pt>
                <c:pt idx="6">
                  <c:v>3.8601036269430051</c:v>
                </c:pt>
                <c:pt idx="12">
                  <c:v>2.9754426042261564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868-4FA4-A5C4-6E85CE7E4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resd'!$C$205:$D$205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868-4FA4-A5C4-6E85CE7E4B4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resd'!$C$207:$C$219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2.1052631578947367</c:v>
                      </c:pt>
                      <c:pt idx="1">
                        <c:v>1.4772727272727273</c:v>
                      </c:pt>
                      <c:pt idx="2">
                        <c:v>2.4565217391304346</c:v>
                      </c:pt>
                      <c:pt idx="3">
                        <c:v>1.8571428571428572</c:v>
                      </c:pt>
                      <c:pt idx="4">
                        <c:v>1.6206896551724137</c:v>
                      </c:pt>
                      <c:pt idx="5">
                        <c:v>2.5921052631578947</c:v>
                      </c:pt>
                      <c:pt idx="6">
                        <c:v>3.2180451127819549</c:v>
                      </c:pt>
                      <c:pt idx="7">
                        <c:v>4.07</c:v>
                      </c:pt>
                      <c:pt idx="8">
                        <c:v>2.6967213114754101</c:v>
                      </c:pt>
                      <c:pt idx="9">
                        <c:v>2.4550898203592815</c:v>
                      </c:pt>
                      <c:pt idx="10">
                        <c:v>2.8636363636363638</c:v>
                      </c:pt>
                      <c:pt idx="11">
                        <c:v>2.9883720930232558</c:v>
                      </c:pt>
                      <c:pt idx="12">
                        <c:v>2.7591897974493622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868-4FA4-A5C4-6E85CE7E4B4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resd'!$L$206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868-4FA4-A5C4-6E85CE7E4B4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868-4FA4-A5C4-6E85CE7E4B4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868-4FA4-A5C4-6E85CE7E4B4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868-4FA4-A5C4-6E85CE7E4B4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868-4FA4-A5C4-6E85CE7E4B4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868-4FA4-A5C4-6E85CE7E4B4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868-4FA4-A5C4-6E85CE7E4B4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868-4FA4-A5C4-6E85CE7E4B4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868-4FA4-A5C4-6E85CE7E4B4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868-4FA4-A5C4-6E85CE7E4B4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868-4FA4-A5C4-6E85CE7E4B4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868-4FA4-A5C4-6E85CE7E4B4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868-4FA4-A5C4-6E85CE7E4B42}"/>
              </c:ext>
            </c:extLst>
          </c:dPt>
          <c:cat>
            <c:strRef>
              <c:f>'EM evol menusual lugar resd'!$B$207:$B$218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resd'!$L$207:$L$219</c:f>
              <c:numCache>
                <c:formatCode>0.00</c:formatCode>
                <c:ptCount val="13"/>
                <c:pt idx="0">
                  <c:v>-0.25627245095330231</c:v>
                </c:pt>
                <c:pt idx="1">
                  <c:v>-0.29420117917745214</c:v>
                </c:pt>
                <c:pt idx="2">
                  <c:v>0.51090637450199194</c:v>
                </c:pt>
                <c:pt idx="3">
                  <c:v>-0.22997861626543425</c:v>
                </c:pt>
                <c:pt idx="4">
                  <c:v>-0.3878206967801181</c:v>
                </c:pt>
                <c:pt idx="5">
                  <c:v>0.26956025128498018</c:v>
                </c:pt>
                <c:pt idx="6">
                  <c:v>-0.17371279817776797</c:v>
                </c:pt>
                <c:pt idx="12">
                  <c:v>-0.11824510341503958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868-4FA4-A5C4-6E85CE7E4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resd'!$G$227:$H$227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FD8-4646-9B6D-5D129948426D}"/>
              </c:ext>
            </c:extLst>
          </c:dPt>
          <c:val>
            <c:numRef>
              <c:f>'EM evol menusual lugar resd'!$G$229:$G$241</c:f>
              <c:numCache>
                <c:formatCode>0.00</c:formatCode>
                <c:ptCount val="13"/>
                <c:pt idx="0">
                  <c:v>2.8692579505300353</c:v>
                </c:pt>
                <c:pt idx="1">
                  <c:v>2.9292929292929295</c:v>
                </c:pt>
                <c:pt idx="2">
                  <c:v>2.9226519337016574</c:v>
                </c:pt>
                <c:pt idx="3">
                  <c:v>4.037383177570093</c:v>
                </c:pt>
                <c:pt idx="4">
                  <c:v>2.7593984962406015</c:v>
                </c:pt>
                <c:pt idx="5">
                  <c:v>2.324786324786325</c:v>
                </c:pt>
                <c:pt idx="6">
                  <c:v>2.6422764227642275</c:v>
                </c:pt>
                <c:pt idx="7">
                  <c:v>4.1339285714285712</c:v>
                </c:pt>
                <c:pt idx="8">
                  <c:v>3.06993006993007</c:v>
                </c:pt>
                <c:pt idx="9">
                  <c:v>2.3806451612903228</c:v>
                </c:pt>
                <c:pt idx="10">
                  <c:v>2.2638297872340427</c:v>
                </c:pt>
                <c:pt idx="11">
                  <c:v>2.6193548387096772</c:v>
                </c:pt>
                <c:pt idx="12">
                  <c:v>2.8288030519790177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FD8-4646-9B6D-5D129948426D}"/>
            </c:ext>
          </c:extLst>
        </c:ser>
        <c:ser>
          <c:idx val="0"/>
          <c:order val="2"/>
          <c:tx>
            <c:strRef>
              <c:f>'EM evol menusual lugar resd'!$I$227:$J$227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FD8-4646-9B6D-5D129948426D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resd'!$I$229:$I$241</c:f>
              <c:numCache>
                <c:formatCode>0.00</c:formatCode>
                <c:ptCount val="13"/>
                <c:pt idx="0">
                  <c:v>2.8328173374613002</c:v>
                </c:pt>
                <c:pt idx="1">
                  <c:v>2.6576576576576576</c:v>
                </c:pt>
                <c:pt idx="2">
                  <c:v>2.2459016393442623</c:v>
                </c:pt>
                <c:pt idx="3">
                  <c:v>2.1925925925925926</c:v>
                </c:pt>
                <c:pt idx="4">
                  <c:v>2.5947712418300655</c:v>
                </c:pt>
                <c:pt idx="5">
                  <c:v>2.5315315315315314</c:v>
                </c:pt>
                <c:pt idx="6">
                  <c:v>3.4086021505376345</c:v>
                </c:pt>
                <c:pt idx="7">
                  <c:v>2.3281853281853282</c:v>
                </c:pt>
                <c:pt idx="8">
                  <c:v>3.317241379310345</c:v>
                </c:pt>
                <c:pt idx="9">
                  <c:v>2.9246231155778895</c:v>
                </c:pt>
                <c:pt idx="10">
                  <c:v>2.5864197530864197</c:v>
                </c:pt>
                <c:pt idx="11">
                  <c:v>2.6566666666666667</c:v>
                </c:pt>
                <c:pt idx="12">
                  <c:v>2.6870078740157481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FD8-4646-9B6D-5D129948426D}"/>
            </c:ext>
          </c:extLst>
        </c:ser>
        <c:ser>
          <c:idx val="1"/>
          <c:order val="3"/>
          <c:tx>
            <c:strRef>
              <c:f>'EM evol menusual lugar resd'!$K$227:$L$227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FD8-4646-9B6D-5D129948426D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FD8-4646-9B6D-5D129948426D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resd'!$K$229:$K$241</c:f>
              <c:numCache>
                <c:formatCode>0.00</c:formatCode>
                <c:ptCount val="13"/>
                <c:pt idx="0">
                  <c:v>2.3111111111111109</c:v>
                </c:pt>
                <c:pt idx="1">
                  <c:v>2.7683823529411766</c:v>
                </c:pt>
                <c:pt idx="2">
                  <c:v>2.6934306569343067</c:v>
                </c:pt>
                <c:pt idx="3">
                  <c:v>3.4216867469879517</c:v>
                </c:pt>
                <c:pt idx="4">
                  <c:v>3.1</c:v>
                </c:pt>
                <c:pt idx="5">
                  <c:v>2.7625000000000002</c:v>
                </c:pt>
                <c:pt idx="6">
                  <c:v>2.9096385542168677</c:v>
                </c:pt>
                <c:pt idx="12">
                  <c:v>2.7862481315396113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FD8-4646-9B6D-5D12994842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resd'!$C$227:$D$227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FD8-4646-9B6D-5D129948426D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resd'!$C$229:$C$241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1.6046511627906976</c:v>
                      </c:pt>
                      <c:pt idx="1">
                        <c:v>2.2702702702702702</c:v>
                      </c:pt>
                      <c:pt idx="2">
                        <c:v>1.65625</c:v>
                      </c:pt>
                      <c:pt idx="3">
                        <c:v>1.8064516129032258</c:v>
                      </c:pt>
                      <c:pt idx="4">
                        <c:v>2.2323232323232323</c:v>
                      </c:pt>
                      <c:pt idx="5">
                        <c:v>2.5396825396825395</c:v>
                      </c:pt>
                      <c:pt idx="6">
                        <c:v>2.5662650602409638</c:v>
                      </c:pt>
                      <c:pt idx="7">
                        <c:v>2.8058252427184467</c:v>
                      </c:pt>
                      <c:pt idx="8">
                        <c:v>2.9885057471264367</c:v>
                      </c:pt>
                      <c:pt idx="9">
                        <c:v>2.3220338983050848</c:v>
                      </c:pt>
                      <c:pt idx="10">
                        <c:v>2.6972704714640199</c:v>
                      </c:pt>
                      <c:pt idx="11">
                        <c:v>2.7487437185929648</c:v>
                      </c:pt>
                      <c:pt idx="12">
                        <c:v>2.5423728813559321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FD8-4646-9B6D-5D129948426D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resd'!$L$228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FD8-4646-9B6D-5D129948426D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FD8-4646-9B6D-5D129948426D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FD8-4646-9B6D-5D129948426D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FD8-4646-9B6D-5D129948426D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FD8-4646-9B6D-5D129948426D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FD8-4646-9B6D-5D129948426D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FD8-4646-9B6D-5D129948426D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FD8-4646-9B6D-5D129948426D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FD8-4646-9B6D-5D129948426D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FD8-4646-9B6D-5D129948426D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FD8-4646-9B6D-5D129948426D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FD8-4646-9B6D-5D129948426D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FD8-4646-9B6D-5D129948426D}"/>
              </c:ext>
            </c:extLst>
          </c:dPt>
          <c:cat>
            <c:strRef>
              <c:f>'EM evol menusual lugar resd'!$B$229:$B$240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resd'!$L$229:$L$241</c:f>
              <c:numCache>
                <c:formatCode>0.00</c:formatCode>
                <c:ptCount val="13"/>
                <c:pt idx="0">
                  <c:v>-0.52170622635018926</c:v>
                </c:pt>
                <c:pt idx="1">
                  <c:v>0.11072469528351903</c:v>
                </c:pt>
                <c:pt idx="2">
                  <c:v>0.44752901759004438</c:v>
                </c:pt>
                <c:pt idx="3">
                  <c:v>1.2290941543953591</c:v>
                </c:pt>
                <c:pt idx="4">
                  <c:v>0.50522875816993462</c:v>
                </c:pt>
                <c:pt idx="5">
                  <c:v>0.23096846846846875</c:v>
                </c:pt>
                <c:pt idx="6">
                  <c:v>-0.49896359632076681</c:v>
                </c:pt>
                <c:pt idx="12">
                  <c:v>0.1023182000849272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FD8-4646-9B6D-5D12994842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resd'!$G$249:$H$249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6441-44A5-A4A8-5C97C82DF022}"/>
              </c:ext>
            </c:extLst>
          </c:dPt>
          <c:val>
            <c:numRef>
              <c:f>'EM evol menusual lugar resd'!$G$251:$G$263</c:f>
              <c:numCache>
                <c:formatCode>0.00</c:formatCode>
                <c:ptCount val="13"/>
                <c:pt idx="0">
                  <c:v>3.1305970149253732</c:v>
                </c:pt>
                <c:pt idx="1">
                  <c:v>2.8382978723404255</c:v>
                </c:pt>
                <c:pt idx="2">
                  <c:v>2.6414141414141414</c:v>
                </c:pt>
                <c:pt idx="3">
                  <c:v>2.0952380952380953</c:v>
                </c:pt>
                <c:pt idx="4">
                  <c:v>2.8461538461538463</c:v>
                </c:pt>
                <c:pt idx="5">
                  <c:v>5.8461538461538458</c:v>
                </c:pt>
                <c:pt idx="6">
                  <c:v>6.9347826086956523</c:v>
                </c:pt>
                <c:pt idx="7">
                  <c:v>5.666666666666667</c:v>
                </c:pt>
                <c:pt idx="8">
                  <c:v>2.2916666666666665</c:v>
                </c:pt>
                <c:pt idx="9">
                  <c:v>2.2410714285714284</c:v>
                </c:pt>
                <c:pt idx="10">
                  <c:v>2.1355932203389831</c:v>
                </c:pt>
                <c:pt idx="11">
                  <c:v>2.3860759493670884</c:v>
                </c:pt>
                <c:pt idx="12">
                  <c:v>2.901049475262369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441-44A5-A4A8-5C97C82DF022}"/>
            </c:ext>
          </c:extLst>
        </c:ser>
        <c:ser>
          <c:idx val="0"/>
          <c:order val="2"/>
          <c:tx>
            <c:strRef>
              <c:f>'EM evol menusual lugar resd'!$I$249:$J$249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6441-44A5-A4A8-5C97C82DF022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resd'!$I$251:$I$263</c:f>
              <c:numCache>
                <c:formatCode>0.00</c:formatCode>
                <c:ptCount val="13"/>
                <c:pt idx="0">
                  <c:v>2.7339901477832513</c:v>
                </c:pt>
                <c:pt idx="1">
                  <c:v>2.1507537688442211</c:v>
                </c:pt>
                <c:pt idx="2">
                  <c:v>2.7602739726027399</c:v>
                </c:pt>
                <c:pt idx="3">
                  <c:v>2.2439024390243905</c:v>
                </c:pt>
                <c:pt idx="4">
                  <c:v>2</c:v>
                </c:pt>
                <c:pt idx="5">
                  <c:v>2.7777777777777777</c:v>
                </c:pt>
                <c:pt idx="6">
                  <c:v>2.6842105263157894</c:v>
                </c:pt>
                <c:pt idx="7">
                  <c:v>4.5909090909090908</c:v>
                </c:pt>
                <c:pt idx="8">
                  <c:v>3.75</c:v>
                </c:pt>
                <c:pt idx="9">
                  <c:v>2.2830188679245285</c:v>
                </c:pt>
                <c:pt idx="10">
                  <c:v>2.552941176470588</c:v>
                </c:pt>
                <c:pt idx="11">
                  <c:v>3.1875</c:v>
                </c:pt>
                <c:pt idx="12">
                  <c:v>2.6648936170212765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441-44A5-A4A8-5C97C82DF022}"/>
            </c:ext>
          </c:extLst>
        </c:ser>
        <c:ser>
          <c:idx val="1"/>
          <c:order val="3"/>
          <c:tx>
            <c:strRef>
              <c:f>'EM evol menusual lugar resd'!$K$249:$L$249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6441-44A5-A4A8-5C97C82DF022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6441-44A5-A4A8-5C97C82DF022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resd'!$K$251:$K$263</c:f>
              <c:numCache>
                <c:formatCode>0.00</c:formatCode>
                <c:ptCount val="13"/>
                <c:pt idx="0">
                  <c:v>3.5687500000000001</c:v>
                </c:pt>
                <c:pt idx="1">
                  <c:v>3.377049180327869</c:v>
                </c:pt>
                <c:pt idx="2">
                  <c:v>2.7647058823529411</c:v>
                </c:pt>
                <c:pt idx="3">
                  <c:v>2.5897435897435899</c:v>
                </c:pt>
                <c:pt idx="4">
                  <c:v>3.2272727272727271</c:v>
                </c:pt>
                <c:pt idx="5">
                  <c:v>6.1538461538461542</c:v>
                </c:pt>
                <c:pt idx="6">
                  <c:v>1.6153846153846154</c:v>
                </c:pt>
                <c:pt idx="12">
                  <c:v>3.1992409867172675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6441-44A5-A4A8-5C97C82DF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resd'!$C$249:$D$249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6441-44A5-A4A8-5C97C82DF022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resd'!$C$251:$C$263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</c:v>
                      </c:pt>
                      <c:pt idx="1">
                        <c:v>2</c:v>
                      </c:pt>
                      <c:pt idx="2">
                        <c:v>2.25</c:v>
                      </c:pt>
                      <c:pt idx="3">
                        <c:v>2.1111111111111112</c:v>
                      </c:pt>
                      <c:pt idx="4">
                        <c:v>1.3571428571428572</c:v>
                      </c:pt>
                      <c:pt idx="5">
                        <c:v>5</c:v>
                      </c:pt>
                      <c:pt idx="6">
                        <c:v>4.0370370370370372</c:v>
                      </c:pt>
                      <c:pt idx="7">
                        <c:v>3.6</c:v>
                      </c:pt>
                      <c:pt idx="8">
                        <c:v>3.4117647058823528</c:v>
                      </c:pt>
                      <c:pt idx="9">
                        <c:v>2.2935779816513762</c:v>
                      </c:pt>
                      <c:pt idx="10">
                        <c:v>2.5089820359281436</c:v>
                      </c:pt>
                      <c:pt idx="11">
                        <c:v>2.5635359116022101</c:v>
                      </c:pt>
                      <c:pt idx="12">
                        <c:v>2.5981981981981983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6441-44A5-A4A8-5C97C82DF022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resd'!$L$250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6441-44A5-A4A8-5C97C82DF022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6441-44A5-A4A8-5C97C82DF022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6441-44A5-A4A8-5C97C82DF022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6441-44A5-A4A8-5C97C82DF022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6441-44A5-A4A8-5C97C82DF022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6441-44A5-A4A8-5C97C82DF022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6441-44A5-A4A8-5C97C82DF022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6441-44A5-A4A8-5C97C82DF022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6441-44A5-A4A8-5C97C82DF022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6441-44A5-A4A8-5C97C82DF022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6441-44A5-A4A8-5C97C82DF022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6441-44A5-A4A8-5C97C82DF022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6441-44A5-A4A8-5C97C82DF022}"/>
              </c:ext>
            </c:extLst>
          </c:dPt>
          <c:cat>
            <c:strRef>
              <c:f>'EM evol menusual lugar resd'!$B$251:$B$262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resd'!$L$251:$L$263</c:f>
              <c:numCache>
                <c:formatCode>0.00</c:formatCode>
                <c:ptCount val="13"/>
                <c:pt idx="0">
                  <c:v>0.83475985221674875</c:v>
                </c:pt>
                <c:pt idx="1">
                  <c:v>1.226295411483648</c:v>
                </c:pt>
                <c:pt idx="2">
                  <c:v>4.4319097502012461E-3</c:v>
                </c:pt>
                <c:pt idx="3">
                  <c:v>0.34584115071919941</c:v>
                </c:pt>
                <c:pt idx="4">
                  <c:v>1.2272727272727271</c:v>
                </c:pt>
                <c:pt idx="5">
                  <c:v>3.3760683760683765</c:v>
                </c:pt>
                <c:pt idx="6">
                  <c:v>-1.068825910931174</c:v>
                </c:pt>
                <c:pt idx="12">
                  <c:v>0.69429049166776258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6441-44A5-A4A8-5C97C82DF0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menusual lugar resd'!$G$271:$H$271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F40-4348-B514-068A5D6E74D7}"/>
              </c:ext>
            </c:extLst>
          </c:dPt>
          <c:val>
            <c:numRef>
              <c:f>'EM evol menusual lugar resd'!$G$273:$G$285</c:f>
              <c:numCache>
                <c:formatCode>0.00</c:formatCode>
                <c:ptCount val="13"/>
                <c:pt idx="0">
                  <c:v>2.3435897435897437</c:v>
                </c:pt>
                <c:pt idx="1">
                  <c:v>2.3452380952380953</c:v>
                </c:pt>
                <c:pt idx="2">
                  <c:v>2.1419753086419755</c:v>
                </c:pt>
                <c:pt idx="3">
                  <c:v>2.8341463414634145</c:v>
                </c:pt>
                <c:pt idx="4">
                  <c:v>1.6956521739130435</c:v>
                </c:pt>
                <c:pt idx="5">
                  <c:v>2.1923076923076925</c:v>
                </c:pt>
                <c:pt idx="6">
                  <c:v>3.7234042553191489</c:v>
                </c:pt>
                <c:pt idx="7">
                  <c:v>4.4210526315789478</c:v>
                </c:pt>
                <c:pt idx="8">
                  <c:v>2</c:v>
                </c:pt>
                <c:pt idx="9">
                  <c:v>1.6622807017543859</c:v>
                </c:pt>
                <c:pt idx="10">
                  <c:v>1.7654986522911051</c:v>
                </c:pt>
                <c:pt idx="11">
                  <c:v>1.9036402569593147</c:v>
                </c:pt>
                <c:pt idx="12">
                  <c:v>2.1686650679456436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F40-4348-B514-068A5D6E74D7}"/>
            </c:ext>
          </c:extLst>
        </c:ser>
        <c:ser>
          <c:idx val="0"/>
          <c:order val="2"/>
          <c:tx>
            <c:strRef>
              <c:f>'EM evol menusual lugar resd'!$I$271:$J$271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F40-4348-B514-068A5D6E74D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resd'!$I$273:$I$285</c:f>
              <c:numCache>
                <c:formatCode>0.00</c:formatCode>
                <c:ptCount val="13"/>
                <c:pt idx="0">
                  <c:v>2.1986607142857144</c:v>
                </c:pt>
                <c:pt idx="1">
                  <c:v>1.7648648648648648</c:v>
                </c:pt>
                <c:pt idx="2">
                  <c:v>1.639751552795031</c:v>
                </c:pt>
                <c:pt idx="3">
                  <c:v>1.641025641025641</c:v>
                </c:pt>
                <c:pt idx="4">
                  <c:v>2.7111111111111112</c:v>
                </c:pt>
                <c:pt idx="5">
                  <c:v>3.2173913043478262</c:v>
                </c:pt>
                <c:pt idx="6">
                  <c:v>3.6481481481481484</c:v>
                </c:pt>
                <c:pt idx="7">
                  <c:v>2.4285714285714284</c:v>
                </c:pt>
                <c:pt idx="8">
                  <c:v>2.4</c:v>
                </c:pt>
                <c:pt idx="9">
                  <c:v>2.2168674698795181</c:v>
                </c:pt>
                <c:pt idx="10">
                  <c:v>1.7411504424778761</c:v>
                </c:pt>
                <c:pt idx="11">
                  <c:v>2.0666666666666669</c:v>
                </c:pt>
                <c:pt idx="12">
                  <c:v>1.9666244190959019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F40-4348-B514-068A5D6E74D7}"/>
            </c:ext>
          </c:extLst>
        </c:ser>
        <c:ser>
          <c:idx val="1"/>
          <c:order val="3"/>
          <c:tx>
            <c:strRef>
              <c:f>'EM evol menusual lugar resd'!$K$271:$L$271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F40-4348-B514-068A5D6E74D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F40-4348-B514-068A5D6E74D7}"/>
              </c:ext>
            </c:extLst>
          </c:dPt>
          <c:cat>
            <c:strRef>
              <c:f>'EM evol menusual lugar resd'!$A$9:$A$21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menusual lugar resd'!$K$273:$K$285</c:f>
              <c:numCache>
                <c:formatCode>0.00</c:formatCode>
                <c:ptCount val="13"/>
                <c:pt idx="0">
                  <c:v>2.5</c:v>
                </c:pt>
                <c:pt idx="1">
                  <c:v>1.9671641791044776</c:v>
                </c:pt>
                <c:pt idx="2">
                  <c:v>2.4866920152091256</c:v>
                </c:pt>
                <c:pt idx="3">
                  <c:v>1.76</c:v>
                </c:pt>
                <c:pt idx="4">
                  <c:v>2.652173913043478</c:v>
                </c:pt>
                <c:pt idx="5">
                  <c:v>1.56</c:v>
                </c:pt>
                <c:pt idx="6">
                  <c:v>3.1578947368421053</c:v>
                </c:pt>
                <c:pt idx="12">
                  <c:v>2.300864100549882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F40-4348-B514-068A5D6E74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menusual lugar resd'!$C$271:$D$271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F40-4348-B514-068A5D6E74D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menusual lugar resd'!$A$9:$A$21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menusual lugar resd'!$C$273:$C$285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0</c:v>
                      </c:pt>
                      <c:pt idx="1">
                        <c:v>1.7</c:v>
                      </c:pt>
                      <c:pt idx="2">
                        <c:v>2</c:v>
                      </c:pt>
                      <c:pt idx="3">
                        <c:v>3</c:v>
                      </c:pt>
                      <c:pt idx="4">
                        <c:v>2.2400000000000002</c:v>
                      </c:pt>
                      <c:pt idx="5">
                        <c:v>2.2592592592592591</c:v>
                      </c:pt>
                      <c:pt idx="6">
                        <c:v>3.76</c:v>
                      </c:pt>
                      <c:pt idx="7">
                        <c:v>2.2142857142857144</c:v>
                      </c:pt>
                      <c:pt idx="8">
                        <c:v>3.4242424242424243</c:v>
                      </c:pt>
                      <c:pt idx="9">
                        <c:v>1.8473282442748091</c:v>
                      </c:pt>
                      <c:pt idx="10">
                        <c:v>1.9113924050632911</c:v>
                      </c:pt>
                      <c:pt idx="11">
                        <c:v>2.2438271604938271</c:v>
                      </c:pt>
                      <c:pt idx="12">
                        <c:v>2.1871599564744288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F40-4348-B514-068A5D6E74D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menusual lugar resd'!$L$272</c:f>
              <c:strCache>
                <c:ptCount val="1"/>
                <c:pt idx="0">
                  <c:v>dif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F40-4348-B514-068A5D6E74D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F40-4348-B514-068A5D6E74D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F40-4348-B514-068A5D6E74D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F40-4348-B514-068A5D6E74D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F40-4348-B514-068A5D6E74D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F40-4348-B514-068A5D6E74D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F40-4348-B514-068A5D6E74D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F40-4348-B514-068A5D6E74D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F40-4348-B514-068A5D6E74D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F40-4348-B514-068A5D6E74D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F40-4348-B514-068A5D6E74D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F40-4348-B514-068A5D6E74D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F40-4348-B514-068A5D6E74D7}"/>
              </c:ext>
            </c:extLst>
          </c:dPt>
          <c:cat>
            <c:strRef>
              <c:f>'EM evol menusual lugar resd'!$B$273:$B$284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menusual lugar resd'!$L$273:$L$285</c:f>
              <c:numCache>
                <c:formatCode>0.00</c:formatCode>
                <c:ptCount val="13"/>
                <c:pt idx="0">
                  <c:v>0.30133928571428559</c:v>
                </c:pt>
                <c:pt idx="1">
                  <c:v>0.20229931423961278</c:v>
                </c:pt>
                <c:pt idx="2">
                  <c:v>0.8469404624140946</c:v>
                </c:pt>
                <c:pt idx="3">
                  <c:v>0.11897435897435904</c:v>
                </c:pt>
                <c:pt idx="4">
                  <c:v>-5.8937198067633201E-2</c:v>
                </c:pt>
                <c:pt idx="5">
                  <c:v>-1.6573913043478261</c:v>
                </c:pt>
                <c:pt idx="6">
                  <c:v>-0.49025341130604305</c:v>
                </c:pt>
                <c:pt idx="12">
                  <c:v>0.31567369152308378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F40-4348-B514-068A5D6E74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B073-49B1-A66E-095B0F4521FC}"/>
              </c:ext>
            </c:extLst>
          </c:dPt>
          <c:val>
            <c:numRef>
              <c:f>'EM evol mensu TF cat '!$G$9:$G$21</c:f>
              <c:numCache>
                <c:formatCode>0.00</c:formatCode>
                <c:ptCount val="13"/>
                <c:pt idx="0">
                  <c:v>2.6381660470879802</c:v>
                </c:pt>
                <c:pt idx="1">
                  <c:v>2.4732375690607733</c:v>
                </c:pt>
                <c:pt idx="2">
                  <c:v>2.5529145444255801</c:v>
                </c:pt>
                <c:pt idx="3">
                  <c:v>2.4243523043775292</c:v>
                </c:pt>
                <c:pt idx="4">
                  <c:v>2.197144331670394</c:v>
                </c:pt>
                <c:pt idx="5">
                  <c:v>2.0572924688125673</c:v>
                </c:pt>
                <c:pt idx="6">
                  <c:v>2.0914386094674557</c:v>
                </c:pt>
                <c:pt idx="7">
                  <c:v>2.8021182816919938</c:v>
                </c:pt>
                <c:pt idx="8">
                  <c:v>2.2043213975583593</c:v>
                </c:pt>
                <c:pt idx="9">
                  <c:v>2.2301287686818019</c:v>
                </c:pt>
                <c:pt idx="10">
                  <c:v>2.1195535180386686</c:v>
                </c:pt>
                <c:pt idx="11">
                  <c:v>2.241869341020748</c:v>
                </c:pt>
                <c:pt idx="12">
                  <c:v>2.3296593146357729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73-49B1-A66E-095B0F4521FC}"/>
            </c:ext>
          </c:extLst>
        </c:ser>
        <c:ser>
          <c:idx val="0"/>
          <c:order val="2"/>
          <c:tx>
            <c:strRef>
              <c:f>'EM evol mensu TF cat 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B073-49B1-A66E-095B0F4521FC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'!$I$9:$I$21</c:f>
              <c:numCache>
                <c:formatCode>0.00</c:formatCode>
                <c:ptCount val="13"/>
                <c:pt idx="0">
                  <c:v>2.3200146329566702</c:v>
                </c:pt>
                <c:pt idx="1">
                  <c:v>2.1117708416914067</c:v>
                </c:pt>
                <c:pt idx="2">
                  <c:v>2.1110739128817468</c:v>
                </c:pt>
                <c:pt idx="3">
                  <c:v>2.2593373927218678</c:v>
                </c:pt>
                <c:pt idx="4">
                  <c:v>2.0151193633952253</c:v>
                </c:pt>
                <c:pt idx="5">
                  <c:v>2.0359794950414409</c:v>
                </c:pt>
                <c:pt idx="6">
                  <c:v>2.0875884890880911</c:v>
                </c:pt>
                <c:pt idx="7">
                  <c:v>2.8997583829335847</c:v>
                </c:pt>
                <c:pt idx="8">
                  <c:v>2.1866574965612107</c:v>
                </c:pt>
                <c:pt idx="9">
                  <c:v>2.2685847398749437</c:v>
                </c:pt>
                <c:pt idx="10">
                  <c:v>1.9873622130169206</c:v>
                </c:pt>
                <c:pt idx="11">
                  <c:v>2.0944992947813823</c:v>
                </c:pt>
                <c:pt idx="12">
                  <c:v>2.1778762283219097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073-49B1-A66E-095B0F4521FC}"/>
            </c:ext>
          </c:extLst>
        </c:ser>
        <c:ser>
          <c:idx val="1"/>
          <c:order val="3"/>
          <c:tx>
            <c:strRef>
              <c:f>'EM evol mensu TF cat 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B073-49B1-A66E-095B0F4521F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B073-49B1-A66E-095B0F4521FC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'!$K$9:$K$21</c:f>
              <c:numCache>
                <c:formatCode>0.00</c:formatCode>
                <c:ptCount val="13"/>
                <c:pt idx="0">
                  <c:v>2.1576113730734043</c:v>
                </c:pt>
                <c:pt idx="1">
                  <c:v>2.0968158811070827</c:v>
                </c:pt>
                <c:pt idx="2">
                  <c:v>2.1481083404987102</c:v>
                </c:pt>
                <c:pt idx="3">
                  <c:v>2.1392322706571241</c:v>
                </c:pt>
                <c:pt idx="4">
                  <c:v>2.2807980783371735</c:v>
                </c:pt>
                <c:pt idx="5">
                  <c:v>2.1019455661020503</c:v>
                </c:pt>
                <c:pt idx="6">
                  <c:v>2.1673615247170934</c:v>
                </c:pt>
                <c:pt idx="12">
                  <c:v>2.1533491162178038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073-49B1-A66E-095B0F4521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B073-49B1-A66E-095B0F4521F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'!$C$9:$C$21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2.8322493991234272</c:v>
                      </c:pt>
                      <c:pt idx="1">
                        <c:v>2.4567090685268771</c:v>
                      </c:pt>
                      <c:pt idx="2">
                        <c:v>2.3488082178119076</c:v>
                      </c:pt>
                      <c:pt idx="3">
                        <c:v>2.5104382929642446</c:v>
                      </c:pt>
                      <c:pt idx="4">
                        <c:v>2.4632700120786208</c:v>
                      </c:pt>
                      <c:pt idx="5">
                        <c:v>2.2983870967741935</c:v>
                      </c:pt>
                      <c:pt idx="6">
                        <c:v>2.3937399767737655</c:v>
                      </c:pt>
                      <c:pt idx="7">
                        <c:v>2.6865335051546393</c:v>
                      </c:pt>
                      <c:pt idx="8">
                        <c:v>2.1155368505436143</c:v>
                      </c:pt>
                      <c:pt idx="9">
                        <c:v>2.1997993799015139</c:v>
                      </c:pt>
                      <c:pt idx="10">
                        <c:v>2.2195556611619343</c:v>
                      </c:pt>
                      <c:pt idx="11">
                        <c:v>2.2557062382641351</c:v>
                      </c:pt>
                      <c:pt idx="12">
                        <c:v>2.3720011696365835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B073-49B1-A66E-095B0F4521F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'!$L$8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B073-49B1-A66E-095B0F4521F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B073-49B1-A66E-095B0F4521F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B073-49B1-A66E-095B0F4521F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B073-49B1-A66E-095B0F4521F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B073-49B1-A66E-095B0F4521F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B073-49B1-A66E-095B0F4521F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B073-49B1-A66E-095B0F4521F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B073-49B1-A66E-095B0F4521F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B073-49B1-A66E-095B0F4521F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B073-49B1-A66E-095B0F4521F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B073-49B1-A66E-095B0F4521F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B073-49B1-A66E-095B0F4521F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B073-49B1-A66E-095B0F4521FC}"/>
              </c:ext>
            </c:extLst>
          </c:dPt>
          <c:cat>
            <c:strRef>
              <c:f>'EM evol mensu TF cat 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'!$L$9:$L$21</c:f>
              <c:numCache>
                <c:formatCode>0.00</c:formatCode>
                <c:ptCount val="13"/>
                <c:pt idx="0">
                  <c:v>-0.16240325988326587</c:v>
                </c:pt>
                <c:pt idx="1">
                  <c:v>-1.4954960584323995E-2</c:v>
                </c:pt>
                <c:pt idx="2">
                  <c:v>3.7034427616963406E-2</c:v>
                </c:pt>
                <c:pt idx="3">
                  <c:v>-0.12010512206474377</c:v>
                </c:pt>
                <c:pt idx="4">
                  <c:v>0.26567871494194817</c:v>
                </c:pt>
                <c:pt idx="5">
                  <c:v>6.5966071060609366E-2</c:v>
                </c:pt>
                <c:pt idx="6">
                  <c:v>7.9773035629002287E-2</c:v>
                </c:pt>
                <c:pt idx="12">
                  <c:v>1.8273736891540882E-2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B073-49B1-A66E-095B0F4521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0624332445310046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A979-46CD-B7BA-943477F58BB7}"/>
              </c:ext>
            </c:extLst>
          </c:dPt>
          <c:val>
            <c:numRef>
              <c:f>'EM evol mensu TF cat '!$G$31:$G$43</c:f>
              <c:numCache>
                <c:formatCode>0.00</c:formatCode>
                <c:ptCount val="13"/>
                <c:pt idx="0">
                  <c:v>2.6381660470879802</c:v>
                </c:pt>
                <c:pt idx="1">
                  <c:v>2.4732375690607733</c:v>
                </c:pt>
                <c:pt idx="2">
                  <c:v>2.5529145444255801</c:v>
                </c:pt>
                <c:pt idx="3">
                  <c:v>2.4243523043775292</c:v>
                </c:pt>
                <c:pt idx="4">
                  <c:v>2.197144331670394</c:v>
                </c:pt>
                <c:pt idx="5">
                  <c:v>2.0572924688125673</c:v>
                </c:pt>
                <c:pt idx="6">
                  <c:v>2.0914386094674557</c:v>
                </c:pt>
                <c:pt idx="7">
                  <c:v>2.8021182816919938</c:v>
                </c:pt>
                <c:pt idx="8">
                  <c:v>2.2043213975583593</c:v>
                </c:pt>
                <c:pt idx="9">
                  <c:v>2.2301287686818019</c:v>
                </c:pt>
                <c:pt idx="10">
                  <c:v>2.1195535180386686</c:v>
                </c:pt>
                <c:pt idx="11">
                  <c:v>2.241869341020748</c:v>
                </c:pt>
                <c:pt idx="12">
                  <c:v>2.3296593146357729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979-46CD-B7BA-943477F58BB7}"/>
            </c:ext>
          </c:extLst>
        </c:ser>
        <c:ser>
          <c:idx val="0"/>
          <c:order val="2"/>
          <c:tx>
            <c:strRef>
              <c:f>'EM evol mensu TF cat 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A979-46CD-B7BA-943477F58BB7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'!$I$31:$I$43</c:f>
              <c:numCache>
                <c:formatCode>0.00</c:formatCode>
                <c:ptCount val="13"/>
                <c:pt idx="0">
                  <c:v>2.3200146329566702</c:v>
                </c:pt>
                <c:pt idx="1">
                  <c:v>2.1117708416914067</c:v>
                </c:pt>
                <c:pt idx="2">
                  <c:v>2.1110739128817468</c:v>
                </c:pt>
                <c:pt idx="3">
                  <c:v>2.2593373927218678</c:v>
                </c:pt>
                <c:pt idx="4">
                  <c:v>2.0151193633952253</c:v>
                </c:pt>
                <c:pt idx="5">
                  <c:v>2.0359794950414409</c:v>
                </c:pt>
                <c:pt idx="6">
                  <c:v>2.0875884890880911</c:v>
                </c:pt>
                <c:pt idx="7">
                  <c:v>2.8997583829335847</c:v>
                </c:pt>
                <c:pt idx="8">
                  <c:v>2.1866574965612107</c:v>
                </c:pt>
                <c:pt idx="9">
                  <c:v>2.2685847398749437</c:v>
                </c:pt>
                <c:pt idx="10">
                  <c:v>1.9873622130169206</c:v>
                </c:pt>
                <c:pt idx="11">
                  <c:v>2.0944992947813823</c:v>
                </c:pt>
                <c:pt idx="12">
                  <c:v>2.1778762283219097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979-46CD-B7BA-943477F58BB7}"/>
            </c:ext>
          </c:extLst>
        </c:ser>
        <c:ser>
          <c:idx val="1"/>
          <c:order val="3"/>
          <c:tx>
            <c:strRef>
              <c:f>'EM evol mensu TF cat 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A979-46CD-B7BA-943477F58BB7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A979-46CD-B7BA-943477F58BB7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'!$K$31:$K$43</c:f>
              <c:numCache>
                <c:formatCode>0.00</c:formatCode>
                <c:ptCount val="13"/>
                <c:pt idx="0">
                  <c:v>2.1576113730734043</c:v>
                </c:pt>
                <c:pt idx="1">
                  <c:v>2.0968158811070827</c:v>
                </c:pt>
                <c:pt idx="2">
                  <c:v>2.1481083404987102</c:v>
                </c:pt>
                <c:pt idx="3">
                  <c:v>2.1392322706571241</c:v>
                </c:pt>
                <c:pt idx="4">
                  <c:v>2.2807980783371735</c:v>
                </c:pt>
                <c:pt idx="5">
                  <c:v>2.1019455661020503</c:v>
                </c:pt>
                <c:pt idx="6">
                  <c:v>2.1673615247170934</c:v>
                </c:pt>
                <c:pt idx="12">
                  <c:v>2.1533491162178038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A979-46CD-B7BA-943477F58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A979-46CD-B7BA-943477F58BB7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'!$C$31:$C$43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2.8322493991234272</c:v>
                      </c:pt>
                      <c:pt idx="1">
                        <c:v>2.4567090685268771</c:v>
                      </c:pt>
                      <c:pt idx="2">
                        <c:v>2.3488082178119076</c:v>
                      </c:pt>
                      <c:pt idx="3">
                        <c:v>2.5104382929642446</c:v>
                      </c:pt>
                      <c:pt idx="4">
                        <c:v>2.4632700120786208</c:v>
                      </c:pt>
                      <c:pt idx="5">
                        <c:v>2.2983870967741935</c:v>
                      </c:pt>
                      <c:pt idx="6">
                        <c:v>2.3937399767737655</c:v>
                      </c:pt>
                      <c:pt idx="7">
                        <c:v>2.6865335051546393</c:v>
                      </c:pt>
                      <c:pt idx="8">
                        <c:v>2.1155368505436143</c:v>
                      </c:pt>
                      <c:pt idx="9">
                        <c:v>2.1997993799015139</c:v>
                      </c:pt>
                      <c:pt idx="10">
                        <c:v>2.2195556611619343</c:v>
                      </c:pt>
                      <c:pt idx="11">
                        <c:v>2.2557062382641351</c:v>
                      </c:pt>
                      <c:pt idx="12">
                        <c:v>2.3720011696365835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A979-46CD-B7BA-943477F58BB7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'!$L$30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A979-46CD-B7BA-943477F58BB7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A979-46CD-B7BA-943477F58BB7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A979-46CD-B7BA-943477F58BB7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A979-46CD-B7BA-943477F58BB7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A979-46CD-B7BA-943477F58BB7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A979-46CD-B7BA-943477F58BB7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A979-46CD-B7BA-943477F58BB7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A979-46CD-B7BA-943477F58BB7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A979-46CD-B7BA-943477F58BB7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A979-46CD-B7BA-943477F58BB7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A979-46CD-B7BA-943477F58BB7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A979-46CD-B7BA-943477F58BB7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A979-46CD-B7BA-943477F58BB7}"/>
              </c:ext>
            </c:extLst>
          </c:dPt>
          <c:cat>
            <c:strRef>
              <c:f>'EM evol mensu TF cat 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'!$L$31:$L$43</c:f>
              <c:numCache>
                <c:formatCode>0.00</c:formatCode>
                <c:ptCount val="13"/>
                <c:pt idx="0">
                  <c:v>-0.16240325988326587</c:v>
                </c:pt>
                <c:pt idx="1">
                  <c:v>-1.4954960584323995E-2</c:v>
                </c:pt>
                <c:pt idx="2">
                  <c:v>3.7034427616963406E-2</c:v>
                </c:pt>
                <c:pt idx="3">
                  <c:v>-0.12010512206474377</c:v>
                </c:pt>
                <c:pt idx="4">
                  <c:v>0.26567871494194817</c:v>
                </c:pt>
                <c:pt idx="5">
                  <c:v>6.5966071060609366E-2</c:v>
                </c:pt>
                <c:pt idx="6">
                  <c:v>7.9773035629002287E-2</c:v>
                </c:pt>
                <c:pt idx="12">
                  <c:v>1.8273736891540882E-2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A979-46CD-B7BA-943477F58B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1187294267900032"/>
          <c:w val="0.86939722222222227"/>
          <c:h val="0.42070463713947498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0299-4287-A00E-3805C4E168A6}"/>
              </c:ext>
            </c:extLst>
          </c:dPt>
          <c:val>
            <c:numRef>
              <c:f>'EM evol mensu TF cat '!$G$53:$G$65</c:f>
              <c:numCache>
                <c:formatCode>0.00</c:formatCode>
                <c:ptCount val="13"/>
                <c:pt idx="0">
                  <c:v>2.6799765979230656</c:v>
                </c:pt>
                <c:pt idx="1">
                  <c:v>2.5754752996869512</c:v>
                </c:pt>
                <c:pt idx="2">
                  <c:v>2.5351388153415537</c:v>
                </c:pt>
                <c:pt idx="3">
                  <c:v>2.5466188983430365</c:v>
                </c:pt>
                <c:pt idx="4">
                  <c:v>2.2173870526109916</c:v>
                </c:pt>
                <c:pt idx="5">
                  <c:v>2.1963106971697259</c:v>
                </c:pt>
                <c:pt idx="6">
                  <c:v>2.2843620744511615</c:v>
                </c:pt>
                <c:pt idx="7">
                  <c:v>3.2368137782561894</c:v>
                </c:pt>
                <c:pt idx="8">
                  <c:v>2.3288418350978506</c:v>
                </c:pt>
                <c:pt idx="9">
                  <c:v>2.3148834336884359</c:v>
                </c:pt>
                <c:pt idx="10">
                  <c:v>2.2874057456222348</c:v>
                </c:pt>
                <c:pt idx="11">
                  <c:v>2.4197963287280273</c:v>
                </c:pt>
                <c:pt idx="12">
                  <c:v>2.4546260285207819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299-4287-A00E-3805C4E168A6}"/>
            </c:ext>
          </c:extLst>
        </c:ser>
        <c:ser>
          <c:idx val="0"/>
          <c:order val="2"/>
          <c:tx>
            <c:strRef>
              <c:f>'EM evol mensu TF cat 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0299-4287-A00E-3805C4E168A6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'!$I$53:$I$65</c:f>
              <c:numCache>
                <c:formatCode>0.00</c:formatCode>
                <c:ptCount val="13"/>
                <c:pt idx="0">
                  <c:v>2.5616615067079462</c:v>
                </c:pt>
                <c:pt idx="1">
                  <c:v>2.3074914001783666</c:v>
                </c:pt>
                <c:pt idx="2">
                  <c:v>2.2286604720955734</c:v>
                </c:pt>
                <c:pt idx="3">
                  <c:v>2.4463859020310634</c:v>
                </c:pt>
                <c:pt idx="4">
                  <c:v>2.0691586350612137</c:v>
                </c:pt>
                <c:pt idx="5">
                  <c:v>2.0636521739130433</c:v>
                </c:pt>
                <c:pt idx="6">
                  <c:v>2.2098007344530735</c:v>
                </c:pt>
                <c:pt idx="7">
                  <c:v>3.1288806846786374</c:v>
                </c:pt>
                <c:pt idx="8">
                  <c:v>2.2692999400519551</c:v>
                </c:pt>
                <c:pt idx="9">
                  <c:v>2.3762182041066504</c:v>
                </c:pt>
                <c:pt idx="10">
                  <c:v>2.0624900704337237</c:v>
                </c:pt>
                <c:pt idx="11">
                  <c:v>2.2777023692003948</c:v>
                </c:pt>
                <c:pt idx="12">
                  <c:v>2.3121811361200431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299-4287-A00E-3805C4E168A6}"/>
            </c:ext>
          </c:extLst>
        </c:ser>
        <c:ser>
          <c:idx val="1"/>
          <c:order val="3"/>
          <c:tx>
            <c:strRef>
              <c:f>'EM evol mensu TF cat 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0299-4287-A00E-3805C4E168A6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0299-4287-A00E-3805C4E168A6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'!$K$53:$K$65</c:f>
              <c:numCache>
                <c:formatCode>0.00</c:formatCode>
                <c:ptCount val="13"/>
                <c:pt idx="0">
                  <c:v>2.3469649306769194</c:v>
                </c:pt>
                <c:pt idx="1">
                  <c:v>2.2318840579710146</c:v>
                </c:pt>
                <c:pt idx="2">
                  <c:v>2.3134251290877796</c:v>
                </c:pt>
                <c:pt idx="3">
                  <c:v>2.2467302452316078</c:v>
                </c:pt>
                <c:pt idx="4">
                  <c:v>2.3376803551609324</c:v>
                </c:pt>
                <c:pt idx="5">
                  <c:v>2.1202934351373606</c:v>
                </c:pt>
                <c:pt idx="6">
                  <c:v>2.2695400450305563</c:v>
                </c:pt>
                <c:pt idx="12">
                  <c:v>2.2701925164652241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0299-4287-A00E-3805C4E16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0299-4287-A00E-3805C4E168A6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'!$C$53:$C$65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3.0459280303030303</c:v>
                      </c:pt>
                      <c:pt idx="1">
                        <c:v>2.5615745079662604</c:v>
                      </c:pt>
                      <c:pt idx="2">
                        <c:v>2.4389859864588255</c:v>
                      </c:pt>
                      <c:pt idx="3">
                        <c:v>2.5931468036125378</c:v>
                      </c:pt>
                      <c:pt idx="4">
                        <c:v>2.4652253909843607</c:v>
                      </c:pt>
                      <c:pt idx="5">
                        <c:v>2.4094270781974165</c:v>
                      </c:pt>
                      <c:pt idx="6">
                        <c:v>2.5594205572983943</c:v>
                      </c:pt>
                      <c:pt idx="7">
                        <c:v>3.04468764249886</c:v>
                      </c:pt>
                      <c:pt idx="8">
                        <c:v>2.1439809086088033</c:v>
                      </c:pt>
                      <c:pt idx="9">
                        <c:v>2.1939564867042707</c:v>
                      </c:pt>
                      <c:pt idx="10">
                        <c:v>2.2719651012200939</c:v>
                      </c:pt>
                      <c:pt idx="11">
                        <c:v>2.2874622245153682</c:v>
                      </c:pt>
                      <c:pt idx="12">
                        <c:v>2.4676964118587734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0299-4287-A00E-3805C4E168A6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'!$L$52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0299-4287-A00E-3805C4E168A6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0299-4287-A00E-3805C4E168A6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0299-4287-A00E-3805C4E168A6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0299-4287-A00E-3805C4E168A6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0299-4287-A00E-3805C4E168A6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0299-4287-A00E-3805C4E168A6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0299-4287-A00E-3805C4E168A6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0299-4287-A00E-3805C4E168A6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0299-4287-A00E-3805C4E168A6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0299-4287-A00E-3805C4E168A6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0299-4287-A00E-3805C4E168A6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0299-4287-A00E-3805C4E168A6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0299-4287-A00E-3805C4E168A6}"/>
              </c:ext>
            </c:extLst>
          </c:dPt>
          <c:cat>
            <c:strRef>
              <c:f>'EM evol mensu TF cat 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'!$L$53:$L$65</c:f>
              <c:numCache>
                <c:formatCode>0.00</c:formatCode>
                <c:ptCount val="13"/>
                <c:pt idx="0">
                  <c:v>-0.21469657603102688</c:v>
                </c:pt>
                <c:pt idx="1">
                  <c:v>-7.5607342207351991E-2</c:v>
                </c:pt>
                <c:pt idx="2">
                  <c:v>8.4764656992206255E-2</c:v>
                </c:pt>
                <c:pt idx="3">
                  <c:v>-0.19965565679945563</c:v>
                </c:pt>
                <c:pt idx="4">
                  <c:v>0.26852172009971875</c:v>
                </c:pt>
                <c:pt idx="5">
                  <c:v>5.664126122431723E-2</c:v>
                </c:pt>
                <c:pt idx="6">
                  <c:v>5.9739310577482829E-2</c:v>
                </c:pt>
                <c:pt idx="12">
                  <c:v>2.9082180437876026E-3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0299-4287-A00E-3805C4E168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75351449275362"/>
          <c:y val="0.16682593088722317"/>
          <c:w val="0.86939722222222227"/>
          <c:h val="0.44673508775094251"/>
        </c:manualLayout>
      </c:layout>
      <c:lineChart>
        <c:grouping val="standard"/>
        <c:varyColors val="0"/>
        <c:ser>
          <c:idx val="5"/>
          <c:order val="1"/>
          <c:tx>
            <c:strRef>
              <c:f>'EM evol mensu TF cat 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4504-4597-B33E-065C07FFB491}"/>
              </c:ext>
            </c:extLst>
          </c:dPt>
          <c:val>
            <c:numRef>
              <c:f>'EM evol mensu TF cat '!$G$75:$G$87</c:f>
              <c:numCache>
                <c:formatCode>0.00</c:formatCode>
                <c:ptCount val="13"/>
                <c:pt idx="0">
                  <c:v>2.5794017884674685</c:v>
                </c:pt>
                <c:pt idx="1">
                  <c:v>2.3327036104114192</c:v>
                </c:pt>
                <c:pt idx="2">
                  <c:v>2.5770098441345364</c:v>
                </c:pt>
                <c:pt idx="3">
                  <c:v>2.250762970498474</c:v>
                </c:pt>
                <c:pt idx="4">
                  <c:v>2.1684458616387077</c:v>
                </c:pt>
                <c:pt idx="5">
                  <c:v>1.8747030878859858</c:v>
                </c:pt>
                <c:pt idx="6">
                  <c:v>1.8237306843267109</c:v>
                </c:pt>
                <c:pt idx="7">
                  <c:v>2.1189308069700559</c:v>
                </c:pt>
                <c:pt idx="8">
                  <c:v>1.9859333239555492</c:v>
                </c:pt>
                <c:pt idx="9">
                  <c:v>2.0581231395895347</c:v>
                </c:pt>
                <c:pt idx="10">
                  <c:v>1.8215313122372205</c:v>
                </c:pt>
                <c:pt idx="11">
                  <c:v>1.9440946591402519</c:v>
                </c:pt>
                <c:pt idx="12">
                  <c:v>2.1392374444410849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504-4597-B33E-065C07FFB491}"/>
            </c:ext>
          </c:extLst>
        </c:ser>
        <c:ser>
          <c:idx val="0"/>
          <c:order val="2"/>
          <c:tx>
            <c:strRef>
              <c:f>'EM evol mensu TF cat 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4504-4597-B33E-065C07FFB491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'!$I$75:$I$87</c:f>
              <c:numCache>
                <c:formatCode>0.00</c:formatCode>
                <c:ptCount val="13"/>
                <c:pt idx="0">
                  <c:v>1.9082215871620136</c:v>
                </c:pt>
                <c:pt idx="1">
                  <c:v>1.7788253142609449</c:v>
                </c:pt>
                <c:pt idx="2">
                  <c:v>1.8978652155713687</c:v>
                </c:pt>
                <c:pt idx="3">
                  <c:v>1.9237776289350301</c:v>
                </c:pt>
                <c:pt idx="4">
                  <c:v>1.9008810572687225</c:v>
                </c:pt>
                <c:pt idx="5">
                  <c:v>1.9747614650661742</c:v>
                </c:pt>
                <c:pt idx="6">
                  <c:v>1.8080418617460754</c:v>
                </c:pt>
                <c:pt idx="7">
                  <c:v>2.3591368045931498</c:v>
                </c:pt>
                <c:pt idx="8">
                  <c:v>2.004119464469619</c:v>
                </c:pt>
                <c:pt idx="9">
                  <c:v>2.0532254108413048</c:v>
                </c:pt>
                <c:pt idx="10">
                  <c:v>1.8396334478808705</c:v>
                </c:pt>
                <c:pt idx="11">
                  <c:v>1.7983042394014963</c:v>
                </c:pt>
                <c:pt idx="12">
                  <c:v>1.9168237830855928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504-4597-B33E-065C07FFB491}"/>
            </c:ext>
          </c:extLst>
        </c:ser>
        <c:ser>
          <c:idx val="1"/>
          <c:order val="3"/>
          <c:tx>
            <c:strRef>
              <c:f>'EM evol mensu TF cat 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chemeClr val="accent2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4504-4597-B33E-065C07FFB491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4504-4597-B33E-065C07FFB491}"/>
              </c:ext>
            </c:extLst>
          </c:dPt>
          <c:cat>
            <c:strRef>
              <c:f>'EM evol mensu TF cat 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'EM evol mensu TF cat '!$K$75:$K$87</c:f>
              <c:numCache>
                <c:formatCode>0.00</c:formatCode>
                <c:ptCount val="13"/>
                <c:pt idx="0">
                  <c:v>1.868734447209385</c:v>
                </c:pt>
                <c:pt idx="1">
                  <c:v>1.8524755470404357</c:v>
                </c:pt>
                <c:pt idx="2">
                  <c:v>1.8732112192329708</c:v>
                </c:pt>
                <c:pt idx="3">
                  <c:v>1.9508059701492537</c:v>
                </c:pt>
                <c:pt idx="4">
                  <c:v>2.1437405983620259</c:v>
                </c:pt>
                <c:pt idx="5">
                  <c:v>2.0590192644483363</c:v>
                </c:pt>
                <c:pt idx="6">
                  <c:v>1.9145176695319961</c:v>
                </c:pt>
                <c:pt idx="12">
                  <c:v>1.9306736090757055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4504-4597-B33E-065C07FFB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'EM evol mensu TF cat '!$C$73:$D$73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4504-4597-B33E-065C07FFB491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'EM evol mensu TF cat 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'EM evol mensu TF cat '!$C$75:$C$87</c15:sqref>
                        </c15:formulaRef>
                      </c:ext>
                    </c:extLst>
                    <c:numCache>
                      <c:formatCode>0.00</c:formatCode>
                      <c:ptCount val="13"/>
                      <c:pt idx="0">
                        <c:v>2.5154440154440154</c:v>
                      </c:pt>
                      <c:pt idx="1">
                        <c:v>2.2815777116919707</c:v>
                      </c:pt>
                      <c:pt idx="2">
                        <c:v>2.1930087051142548</c:v>
                      </c:pt>
                      <c:pt idx="3">
                        <c:v>2.3559378101223949</c:v>
                      </c:pt>
                      <c:pt idx="4">
                        <c:v>2.460375816993464</c:v>
                      </c:pt>
                      <c:pt idx="5">
                        <c:v>2.1475826972010177</c:v>
                      </c:pt>
                      <c:pt idx="6">
                        <c:v>2.1458937198067631</c:v>
                      </c:pt>
                      <c:pt idx="7">
                        <c:v>2.2209543568464731</c:v>
                      </c:pt>
                      <c:pt idx="8">
                        <c:v>2.0783111625216888</c:v>
                      </c:pt>
                      <c:pt idx="9">
                        <c:v>2.2074144087376601</c:v>
                      </c:pt>
                      <c:pt idx="10">
                        <c:v>2.1468809073724007</c:v>
                      </c:pt>
                      <c:pt idx="11">
                        <c:v>2.214271975379881</c:v>
                      </c:pt>
                      <c:pt idx="12">
                        <c:v>2.233020099749556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4504-4597-B33E-065C07FFB491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'EM evol mensu TF cat '!$L$74</c:f>
              <c:strCache>
                <c:ptCount val="1"/>
                <c:pt idx="0">
                  <c:v>def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4504-4597-B33E-065C07FFB49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504-4597-B33E-065C07FFB49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504-4597-B33E-065C07FFB49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504-4597-B33E-065C07FFB49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504-4597-B33E-065C07FFB49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504-4597-B33E-065C07FFB49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504-4597-B33E-065C07FFB49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4504-4597-B33E-065C07FFB49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4504-4597-B33E-065C07FFB49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4504-4597-B33E-065C07FFB49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4504-4597-B33E-065C07FFB49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4504-4597-B33E-065C07FFB49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4504-4597-B33E-065C07FFB491}"/>
              </c:ext>
            </c:extLst>
          </c:dPt>
          <c:cat>
            <c:strRef>
              <c:f>'EM evol mensu TF cat '!$B$75:$B$86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'EM evol mensu TF cat '!$L$75:$L$87</c:f>
              <c:numCache>
                <c:formatCode>0.00</c:formatCode>
                <c:ptCount val="13"/>
                <c:pt idx="0">
                  <c:v>-3.9487139952628647E-2</c:v>
                </c:pt>
                <c:pt idx="1">
                  <c:v>7.3650232779490787E-2</c:v>
                </c:pt>
                <c:pt idx="2">
                  <c:v>-2.4653996338397821E-2</c:v>
                </c:pt>
                <c:pt idx="3">
                  <c:v>2.7028341214223595E-2</c:v>
                </c:pt>
                <c:pt idx="4">
                  <c:v>0.24285954109330343</c:v>
                </c:pt>
                <c:pt idx="5">
                  <c:v>8.4257799382162046E-2</c:v>
                </c:pt>
                <c:pt idx="6">
                  <c:v>0.1064758077859207</c:v>
                </c:pt>
                <c:pt idx="12">
                  <c:v>4.9511309311642382E-2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4504-4597-B33E-065C07FFB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</c:scaling>
        <c:delete val="0"/>
        <c:axPos val="l"/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0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7750569674669167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mens'!$G$7:$H$7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CEAD-42E9-9463-B3FE5680D543}"/>
              </c:ext>
            </c:extLst>
          </c:dPt>
          <c:val>
            <c:numRef>
              <c:f>'tasa de ocupación evol mens'!$G$9:$G$21</c:f>
              <c:numCache>
                <c:formatCode>0.0%</c:formatCode>
                <c:ptCount val="13"/>
                <c:pt idx="0">
                  <c:v>0.71819999999999995</c:v>
                </c:pt>
                <c:pt idx="1">
                  <c:v>0.69579999999999997</c:v>
                </c:pt>
                <c:pt idx="2">
                  <c:v>0.68220000000000003</c:v>
                </c:pt>
                <c:pt idx="3">
                  <c:v>0.55449999999999999</c:v>
                </c:pt>
                <c:pt idx="4">
                  <c:v>0.44569999999999999</c:v>
                </c:pt>
                <c:pt idx="5">
                  <c:v>0.48170000000000002</c:v>
                </c:pt>
                <c:pt idx="6">
                  <c:v>0.52629999999999999</c:v>
                </c:pt>
                <c:pt idx="7">
                  <c:v>0.52239999999999998</c:v>
                </c:pt>
                <c:pt idx="8">
                  <c:v>0.57379999999999998</c:v>
                </c:pt>
                <c:pt idx="9">
                  <c:v>0.52039999999999997</c:v>
                </c:pt>
                <c:pt idx="10">
                  <c:v>0.66159999999999997</c:v>
                </c:pt>
                <c:pt idx="11">
                  <c:v>0.66480000000000006</c:v>
                </c:pt>
                <c:pt idx="12">
                  <c:v>0.58707862058971227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EAD-42E9-9463-B3FE5680D543}"/>
            </c:ext>
          </c:extLst>
        </c:ser>
        <c:ser>
          <c:idx val="0"/>
          <c:order val="2"/>
          <c:tx>
            <c:strRef>
              <c:f>'tasa de ocupación evol mens'!$I$7:$J$7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CEAD-42E9-9463-B3FE5680D543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mens'!$I$9:$I$21</c:f>
              <c:numCache>
                <c:formatCode>0.0%</c:formatCode>
                <c:ptCount val="13"/>
                <c:pt idx="0">
                  <c:v>0.68730000000000002</c:v>
                </c:pt>
                <c:pt idx="1">
                  <c:v>0.70169999999999999</c:v>
                </c:pt>
                <c:pt idx="2">
                  <c:v>0.68340000000000001</c:v>
                </c:pt>
                <c:pt idx="3">
                  <c:v>0.58630000000000004</c:v>
                </c:pt>
                <c:pt idx="4">
                  <c:v>0.54890000000000005</c:v>
                </c:pt>
                <c:pt idx="5">
                  <c:v>0.52880000000000005</c:v>
                </c:pt>
                <c:pt idx="6">
                  <c:v>0.60099999999999998</c:v>
                </c:pt>
                <c:pt idx="7">
                  <c:v>0.62690000000000001</c:v>
                </c:pt>
                <c:pt idx="8">
                  <c:v>0.5696</c:v>
                </c:pt>
                <c:pt idx="9">
                  <c:v>0.6694</c:v>
                </c:pt>
                <c:pt idx="10">
                  <c:v>0.70440000000000003</c:v>
                </c:pt>
                <c:pt idx="11">
                  <c:v>0.66159999999999997</c:v>
                </c:pt>
                <c:pt idx="12">
                  <c:v>0.63035262548776616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EAD-42E9-9463-B3FE5680D543}"/>
            </c:ext>
          </c:extLst>
        </c:ser>
        <c:ser>
          <c:idx val="1"/>
          <c:order val="3"/>
          <c:tx>
            <c:strRef>
              <c:f>'tasa de ocupación evol mens'!$K$7:$L$7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CEAD-42E9-9463-B3FE5680D543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CEAD-42E9-9463-B3FE5680D543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mens'!$K$9:$K$21</c:f>
              <c:numCache>
                <c:formatCode>0.0%</c:formatCode>
                <c:ptCount val="13"/>
                <c:pt idx="0">
                  <c:v>0.67069999999999996</c:v>
                </c:pt>
                <c:pt idx="1">
                  <c:v>0.69420000000000004</c:v>
                </c:pt>
                <c:pt idx="2">
                  <c:v>0.64359999999999995</c:v>
                </c:pt>
                <c:pt idx="3">
                  <c:v>0.54710000000000003</c:v>
                </c:pt>
                <c:pt idx="4">
                  <c:v>0.50180000000000002</c:v>
                </c:pt>
                <c:pt idx="5">
                  <c:v>0.45520000000000005</c:v>
                </c:pt>
                <c:pt idx="6">
                  <c:v>0.52190000000000003</c:v>
                </c:pt>
                <c:pt idx="12">
                  <c:v>0.57580690456131334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EAD-42E9-9463-B3FE5680D5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mens'!$C$7:$D$7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CEAD-42E9-9463-B3FE5680D543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mens'!$C$9:$C$21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0.51840000000000008</c:v>
                      </c:pt>
                      <c:pt idx="1">
                        <c:v>0.60040000000000004</c:v>
                      </c:pt>
                      <c:pt idx="2">
                        <c:v>0.59799999999999998</c:v>
                      </c:pt>
                      <c:pt idx="3">
                        <c:v>0.55030000000000001</c:v>
                      </c:pt>
                      <c:pt idx="4">
                        <c:v>0.53539999999999999</c:v>
                      </c:pt>
                      <c:pt idx="5">
                        <c:v>0.49780000000000002</c:v>
                      </c:pt>
                      <c:pt idx="6">
                        <c:v>0.52890000000000004</c:v>
                      </c:pt>
                      <c:pt idx="7">
                        <c:v>0.51259999999999994</c:v>
                      </c:pt>
                      <c:pt idx="8">
                        <c:v>0.498</c:v>
                      </c:pt>
                      <c:pt idx="9">
                        <c:v>0.54949999999999999</c:v>
                      </c:pt>
                      <c:pt idx="10">
                        <c:v>0.65969999999999995</c:v>
                      </c:pt>
                      <c:pt idx="11">
                        <c:v>0.61580000000000001</c:v>
                      </c:pt>
                      <c:pt idx="12">
                        <c:v>0.55540181632567553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CEAD-42E9-9463-B3FE5680D543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mens'!$L$8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CEAD-42E9-9463-B3FE5680D543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CEAD-42E9-9463-B3FE5680D543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CEAD-42E9-9463-B3FE5680D543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CEAD-42E9-9463-B3FE5680D543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CEAD-42E9-9463-B3FE5680D543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CEAD-42E9-9463-B3FE5680D543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CEAD-42E9-9463-B3FE5680D543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CEAD-42E9-9463-B3FE5680D543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CEAD-42E9-9463-B3FE5680D543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CEAD-42E9-9463-B3FE5680D543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CEAD-42E9-9463-B3FE5680D543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CEAD-42E9-9463-B3FE5680D543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CEAD-42E9-9463-B3FE5680D543}"/>
              </c:ext>
            </c:extLst>
          </c:dPt>
          <c:cat>
            <c:strRef>
              <c:f>'tasa de ocupación evol mens'!$B$9:$B$20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mens'!$L$9:$L$21</c:f>
              <c:numCache>
                <c:formatCode>0.0%</c:formatCode>
                <c:ptCount val="13"/>
                <c:pt idx="0">
                  <c:v>-2.4152480721664538E-2</c:v>
                </c:pt>
                <c:pt idx="1">
                  <c:v>-1.0688328345446751E-2</c:v>
                </c:pt>
                <c:pt idx="2">
                  <c:v>-5.8238220661398943E-2</c:v>
                </c:pt>
                <c:pt idx="3">
                  <c:v>-6.6859969298993738E-2</c:v>
                </c:pt>
                <c:pt idx="4">
                  <c:v>-8.5807979595554751E-2</c:v>
                </c:pt>
                <c:pt idx="5">
                  <c:v>-0.13918305597579428</c:v>
                </c:pt>
                <c:pt idx="6">
                  <c:v>-0.1316139767054908</c:v>
                </c:pt>
                <c:pt idx="12">
                  <c:v>-6.9839548185171352E-2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CEAD-42E9-9463-B3FE5680D5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739082125603864"/>
          <c:y val="0.15564305555555558"/>
          <c:w val="0.8970059178743961"/>
          <c:h val="0.42248339762898768"/>
        </c:manualLayout>
      </c:layout>
      <c:lineChart>
        <c:grouping val="standard"/>
        <c:varyColors val="0"/>
        <c:ser>
          <c:idx val="3"/>
          <c:order val="0"/>
          <c:tx>
            <c:strRef>
              <c:f>'tasa de ocupación evol mens'!$G$73:$H$73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>
                  <a:lumMod val="65000"/>
                </a:schemeClr>
              </a:solidFill>
              <a:ln w="9525">
                <a:solidFill>
                  <a:schemeClr val="bg1">
                    <a:lumMod val="65000"/>
                  </a:scheme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7D67-4B0D-9880-80F173FE7AF1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mens'!$G$75:$G$87</c:f>
              <c:numCache>
                <c:formatCode>0.0%</c:formatCode>
                <c:ptCount val="13"/>
                <c:pt idx="0">
                  <c:v>0.74129999999999996</c:v>
                </c:pt>
                <c:pt idx="1">
                  <c:v>0.70180000000000009</c:v>
                </c:pt>
                <c:pt idx="2">
                  <c:v>0.74239999999999995</c:v>
                </c:pt>
                <c:pt idx="3">
                  <c:v>0.5403</c:v>
                </c:pt>
                <c:pt idx="4">
                  <c:v>0.46200000000000002</c:v>
                </c:pt>
                <c:pt idx="5">
                  <c:v>0.48180000000000001</c:v>
                </c:pt>
                <c:pt idx="6">
                  <c:v>0.48810000000000003</c:v>
                </c:pt>
                <c:pt idx="7">
                  <c:v>0.37380000000000002</c:v>
                </c:pt>
                <c:pt idx="8">
                  <c:v>0.56969999999999998</c:v>
                </c:pt>
                <c:pt idx="9">
                  <c:v>0.51300000000000001</c:v>
                </c:pt>
                <c:pt idx="10">
                  <c:v>0.65959999999999996</c:v>
                </c:pt>
                <c:pt idx="11">
                  <c:v>0.69440000000000002</c:v>
                </c:pt>
                <c:pt idx="12">
                  <c:v>0.57796021729363234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D67-4B0D-9880-80F173FE7AF1}"/>
            </c:ext>
          </c:extLst>
        </c:ser>
        <c:ser>
          <c:idx val="0"/>
          <c:order val="1"/>
          <c:tx>
            <c:strRef>
              <c:f>'tasa de ocupación evol mens'!$I$73:$J$73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7D67-4B0D-9880-80F173FE7AF1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mens'!$I$75:$I$87</c:f>
              <c:numCache>
                <c:formatCode>0.0%</c:formatCode>
                <c:ptCount val="13"/>
                <c:pt idx="0">
                  <c:v>0.67310000000000003</c:v>
                </c:pt>
                <c:pt idx="1">
                  <c:v>0.70459999999999989</c:v>
                </c:pt>
                <c:pt idx="2">
                  <c:v>0.70319999999999994</c:v>
                </c:pt>
                <c:pt idx="3">
                  <c:v>0.57540000000000002</c:v>
                </c:pt>
                <c:pt idx="4">
                  <c:v>0.53539999999999999</c:v>
                </c:pt>
                <c:pt idx="5">
                  <c:v>0.5141</c:v>
                </c:pt>
                <c:pt idx="6">
                  <c:v>0.51149999999999995</c:v>
                </c:pt>
                <c:pt idx="7">
                  <c:v>0.47049999999999997</c:v>
                </c:pt>
                <c:pt idx="8">
                  <c:v>0.48100000000000004</c:v>
                </c:pt>
                <c:pt idx="9">
                  <c:v>0.65229999999999999</c:v>
                </c:pt>
                <c:pt idx="10">
                  <c:v>0.70779999999999998</c:v>
                </c:pt>
                <c:pt idx="11">
                  <c:v>0.69900000000000007</c:v>
                </c:pt>
                <c:pt idx="12">
                  <c:v>0.60072079836253411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D67-4B0D-9880-80F173FE7AF1}"/>
            </c:ext>
          </c:extLst>
        </c:ser>
        <c:ser>
          <c:idx val="1"/>
          <c:order val="2"/>
          <c:tx>
            <c:strRef>
              <c:f>'tasa de ocupación evol mens'!$K$73:$L$73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7D67-4B0D-9880-80F173FE7AF1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mens'!$K$75:$K$87</c:f>
              <c:numCache>
                <c:formatCode>0.0%</c:formatCode>
                <c:ptCount val="13"/>
                <c:pt idx="0">
                  <c:v>0.81530000000000002</c:v>
                </c:pt>
                <c:pt idx="1">
                  <c:v>0.7389</c:v>
                </c:pt>
                <c:pt idx="2">
                  <c:v>0.71329999999999993</c:v>
                </c:pt>
                <c:pt idx="3">
                  <c:v>0.61329999999999996</c:v>
                </c:pt>
                <c:pt idx="4">
                  <c:v>0.47340000000000004</c:v>
                </c:pt>
                <c:pt idx="5">
                  <c:v>0.47909999999999997</c:v>
                </c:pt>
                <c:pt idx="6">
                  <c:v>0.48080000000000001</c:v>
                </c:pt>
                <c:pt idx="12">
                  <c:v>0.61706020112963222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D67-4B0D-9880-80F173FE7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3"/>
          <c:tx>
            <c:strRef>
              <c:f>'tasa de ocupación evol mens'!$L$74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9-7D67-4B0D-9880-80F173FE7AF1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A-7D67-4B0D-9880-80F173FE7AF1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7D67-4B0D-9880-80F173FE7AF1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7D67-4B0D-9880-80F173FE7AF1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7D67-4B0D-9880-80F173FE7AF1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7D67-4B0D-9880-80F173FE7AF1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7D67-4B0D-9880-80F173FE7AF1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7D67-4B0D-9880-80F173FE7AF1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7D67-4B0D-9880-80F173FE7AF1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7D67-4B0D-9880-80F173FE7AF1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7D67-4B0D-9880-80F173FE7AF1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7D67-4B0D-9880-80F173FE7AF1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7D67-4B0D-9880-80F173FE7AF1}"/>
              </c:ext>
            </c:extLst>
          </c:dPt>
          <c:cat>
            <c:strRef>
              <c:f>'tasa de ocupación evol mens'!$B$53:$B$64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mens'!$L$75:$L$87</c:f>
              <c:numCache>
                <c:formatCode>0.0%</c:formatCode>
                <c:ptCount val="13"/>
                <c:pt idx="0">
                  <c:v>0.21126132818303378</c:v>
                </c:pt>
                <c:pt idx="1">
                  <c:v>4.8680102185637342E-2</c:v>
                </c:pt>
                <c:pt idx="2">
                  <c:v>1.4362912400454952E-2</c:v>
                </c:pt>
                <c:pt idx="3">
                  <c:v>6.5867222801529346E-2</c:v>
                </c:pt>
                <c:pt idx="4">
                  <c:v>-0.11580127007844587</c:v>
                </c:pt>
                <c:pt idx="5">
                  <c:v>-6.8080140050573834E-2</c:v>
                </c:pt>
                <c:pt idx="6">
                  <c:v>-6.0019550342130912E-2</c:v>
                </c:pt>
                <c:pt idx="12">
                  <c:v>2.5650264997302719E-2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7D67-4B0D-9880-80F173FE7A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3474552527311315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mens'!$G$29:$H$29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2446-4863-84C1-9441160C0C0E}"/>
              </c:ext>
            </c:extLst>
          </c:dPt>
          <c:val>
            <c:numRef>
              <c:f>'tasa de ocupación evol mens'!$G$31:$G$43</c:f>
              <c:numCache>
                <c:formatCode>0.0%</c:formatCode>
                <c:ptCount val="13"/>
                <c:pt idx="0">
                  <c:v>0.71819999999999995</c:v>
                </c:pt>
                <c:pt idx="1">
                  <c:v>0.69579999999999997</c:v>
                </c:pt>
                <c:pt idx="2">
                  <c:v>0.68220000000000003</c:v>
                </c:pt>
                <c:pt idx="3">
                  <c:v>0.55449999999999999</c:v>
                </c:pt>
                <c:pt idx="4">
                  <c:v>0.44569999999999999</c:v>
                </c:pt>
                <c:pt idx="5">
                  <c:v>0.48170000000000002</c:v>
                </c:pt>
                <c:pt idx="6">
                  <c:v>0.52629999999999999</c:v>
                </c:pt>
                <c:pt idx="7">
                  <c:v>0.52239999999999998</c:v>
                </c:pt>
                <c:pt idx="8">
                  <c:v>0.57379999999999998</c:v>
                </c:pt>
                <c:pt idx="9">
                  <c:v>0.52039999999999997</c:v>
                </c:pt>
                <c:pt idx="10">
                  <c:v>0.66159999999999997</c:v>
                </c:pt>
                <c:pt idx="11">
                  <c:v>0.66480000000000006</c:v>
                </c:pt>
                <c:pt idx="12">
                  <c:v>0.58707862058971227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46-4863-84C1-9441160C0C0E}"/>
            </c:ext>
          </c:extLst>
        </c:ser>
        <c:ser>
          <c:idx val="0"/>
          <c:order val="2"/>
          <c:tx>
            <c:strRef>
              <c:f>'tasa de ocupación evol mens'!$I$29:$J$29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2446-4863-84C1-9441160C0C0E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mens'!$I$31:$I$43</c:f>
              <c:numCache>
                <c:formatCode>0.0%</c:formatCode>
                <c:ptCount val="13"/>
                <c:pt idx="0">
                  <c:v>0.68730000000000002</c:v>
                </c:pt>
                <c:pt idx="1">
                  <c:v>0.70169999999999999</c:v>
                </c:pt>
                <c:pt idx="2">
                  <c:v>0.68340000000000001</c:v>
                </c:pt>
                <c:pt idx="3">
                  <c:v>0.58630000000000004</c:v>
                </c:pt>
                <c:pt idx="4">
                  <c:v>0.54890000000000005</c:v>
                </c:pt>
                <c:pt idx="5">
                  <c:v>0.52880000000000005</c:v>
                </c:pt>
                <c:pt idx="6">
                  <c:v>0.60099999999999998</c:v>
                </c:pt>
                <c:pt idx="7">
                  <c:v>0.62690000000000001</c:v>
                </c:pt>
                <c:pt idx="8">
                  <c:v>0.5696</c:v>
                </c:pt>
                <c:pt idx="9">
                  <c:v>0.6694</c:v>
                </c:pt>
                <c:pt idx="10">
                  <c:v>0.70440000000000003</c:v>
                </c:pt>
                <c:pt idx="11">
                  <c:v>0.66159999999999997</c:v>
                </c:pt>
                <c:pt idx="12">
                  <c:v>0.63035262548776616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446-4863-84C1-9441160C0C0E}"/>
            </c:ext>
          </c:extLst>
        </c:ser>
        <c:ser>
          <c:idx val="1"/>
          <c:order val="3"/>
          <c:tx>
            <c:strRef>
              <c:f>'tasa de ocupación evol mens'!$K$29:$L$29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2446-4863-84C1-9441160C0C0E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2446-4863-84C1-9441160C0C0E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mens'!$K$31:$K$43</c:f>
              <c:numCache>
                <c:formatCode>0.0%</c:formatCode>
                <c:ptCount val="13"/>
                <c:pt idx="0">
                  <c:v>0.67069999999999996</c:v>
                </c:pt>
                <c:pt idx="1">
                  <c:v>0.69420000000000004</c:v>
                </c:pt>
                <c:pt idx="2">
                  <c:v>0.64359999999999995</c:v>
                </c:pt>
                <c:pt idx="3">
                  <c:v>0.54710000000000003</c:v>
                </c:pt>
                <c:pt idx="4">
                  <c:v>0.50180000000000002</c:v>
                </c:pt>
                <c:pt idx="5">
                  <c:v>0.45520000000000005</c:v>
                </c:pt>
                <c:pt idx="6">
                  <c:v>0.52190000000000003</c:v>
                </c:pt>
                <c:pt idx="12">
                  <c:v>0.57580690456131334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2446-4863-84C1-9441160C0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mens'!$C$29:$D$29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2446-4863-84C1-9441160C0C0E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mens'!$C$31:$C$43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0.51840000000000008</c:v>
                      </c:pt>
                      <c:pt idx="1">
                        <c:v>0.60040000000000004</c:v>
                      </c:pt>
                      <c:pt idx="2">
                        <c:v>0.59799999999999998</c:v>
                      </c:pt>
                      <c:pt idx="3">
                        <c:v>0.55030000000000001</c:v>
                      </c:pt>
                      <c:pt idx="4">
                        <c:v>0.53539999999999999</c:v>
                      </c:pt>
                      <c:pt idx="5">
                        <c:v>0.49780000000000002</c:v>
                      </c:pt>
                      <c:pt idx="6">
                        <c:v>0.52890000000000004</c:v>
                      </c:pt>
                      <c:pt idx="7">
                        <c:v>0.51259999999999994</c:v>
                      </c:pt>
                      <c:pt idx="8">
                        <c:v>0.498</c:v>
                      </c:pt>
                      <c:pt idx="9">
                        <c:v>0.54949999999999999</c:v>
                      </c:pt>
                      <c:pt idx="10">
                        <c:v>0.65969999999999995</c:v>
                      </c:pt>
                      <c:pt idx="11">
                        <c:v>0.61580000000000001</c:v>
                      </c:pt>
                      <c:pt idx="12">
                        <c:v>0.55540181632567553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2446-4863-84C1-9441160C0C0E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mens'!$L$30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2446-4863-84C1-9441160C0C0E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2446-4863-84C1-9441160C0C0E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2446-4863-84C1-9441160C0C0E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2446-4863-84C1-9441160C0C0E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2446-4863-84C1-9441160C0C0E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2446-4863-84C1-9441160C0C0E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2446-4863-84C1-9441160C0C0E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2446-4863-84C1-9441160C0C0E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2446-4863-84C1-9441160C0C0E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2446-4863-84C1-9441160C0C0E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2446-4863-84C1-9441160C0C0E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2446-4863-84C1-9441160C0C0E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2446-4863-84C1-9441160C0C0E}"/>
              </c:ext>
            </c:extLst>
          </c:dPt>
          <c:cat>
            <c:strRef>
              <c:f>'tasa de ocupación evol mens'!$B$31:$B$42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mens'!$L$31:$L$43</c:f>
              <c:numCache>
                <c:formatCode>0.0%</c:formatCode>
                <c:ptCount val="13"/>
                <c:pt idx="0">
                  <c:v>-2.4152480721664538E-2</c:v>
                </c:pt>
                <c:pt idx="1">
                  <c:v>-1.0688328345446751E-2</c:v>
                </c:pt>
                <c:pt idx="2">
                  <c:v>-5.8238220661398943E-2</c:v>
                </c:pt>
                <c:pt idx="3">
                  <c:v>-6.6859969298993738E-2</c:v>
                </c:pt>
                <c:pt idx="4">
                  <c:v>-8.5807979595554751E-2</c:v>
                </c:pt>
                <c:pt idx="5">
                  <c:v>-0.13918305597579428</c:v>
                </c:pt>
                <c:pt idx="6">
                  <c:v>-0.1316139767054908</c:v>
                </c:pt>
                <c:pt idx="12">
                  <c:v>-6.9839548185171352E-2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2446-4863-84C1-9441160C0C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2879304380456516"/>
          <c:y val="0.15001701508510548"/>
          <c:w val="0.87120700483091784"/>
          <c:h val="0.42248339762898768"/>
        </c:manualLayout>
      </c:layout>
      <c:lineChart>
        <c:grouping val="standard"/>
        <c:varyColors val="0"/>
        <c:ser>
          <c:idx val="5"/>
          <c:order val="1"/>
          <c:tx>
            <c:strRef>
              <c:f>'tasa de ocupación evol mens'!$G$51:$H$51</c:f>
              <c:strCache>
                <c:ptCount val="1"/>
                <c:pt idx="0">
                  <c:v>2024</c:v>
                </c:pt>
              </c:strCache>
            </c:strRef>
          </c:tx>
          <c:spPr>
            <a:ln w="25400" cap="rnd">
              <a:solidFill>
                <a:srgbClr val="2683C6">
                  <a:lumMod val="60000"/>
                  <a:lumOff val="40000"/>
                </a:srgb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>
                  <a:lumMod val="60000"/>
                  <a:lumOff val="40000"/>
                </a:srgbClr>
              </a:solidFill>
              <a:ln w="9525">
                <a:solidFill>
                  <a:srgbClr val="2683C6">
                    <a:lumMod val="60000"/>
                    <a:lumOff val="40000"/>
                  </a:srgbClr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5400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3356-4830-A726-7517B5DCF31C}"/>
              </c:ext>
            </c:extLst>
          </c:dPt>
          <c:val>
            <c:numRef>
              <c:f>'tasa de ocupación evol mens'!$G$53:$G$65</c:f>
              <c:numCache>
                <c:formatCode>0.0%</c:formatCode>
                <c:ptCount val="13"/>
                <c:pt idx="0">
                  <c:v>0.70319999999999994</c:v>
                </c:pt>
                <c:pt idx="1">
                  <c:v>0.69189999999999996</c:v>
                </c:pt>
                <c:pt idx="2">
                  <c:v>0.6431</c:v>
                </c:pt>
                <c:pt idx="3">
                  <c:v>0.56380000000000008</c:v>
                </c:pt>
                <c:pt idx="4">
                  <c:v>0.43509999999999999</c:v>
                </c:pt>
                <c:pt idx="5">
                  <c:v>0.48159999999999997</c:v>
                </c:pt>
                <c:pt idx="6">
                  <c:v>0.55110000000000003</c:v>
                </c:pt>
                <c:pt idx="7">
                  <c:v>0.62619999999999998</c:v>
                </c:pt>
                <c:pt idx="8">
                  <c:v>0.57579999999999998</c:v>
                </c:pt>
                <c:pt idx="9">
                  <c:v>0.52369999999999994</c:v>
                </c:pt>
                <c:pt idx="10">
                  <c:v>0.66239999999999999</c:v>
                </c:pt>
                <c:pt idx="11">
                  <c:v>0.65159999999999996</c:v>
                </c:pt>
                <c:pt idx="12">
                  <c:v>0.59242432466085382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56-4830-A726-7517B5DCF31C}"/>
            </c:ext>
          </c:extLst>
        </c:ser>
        <c:ser>
          <c:idx val="0"/>
          <c:order val="2"/>
          <c:tx>
            <c:strRef>
              <c:f>'tasa de ocupación evol mens'!$I$51:$J$51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4-3356-4830-A726-7517B5DCF31C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mens'!$I$53:$I$65</c:f>
              <c:numCache>
                <c:formatCode>0.0%</c:formatCode>
                <c:ptCount val="13"/>
                <c:pt idx="0">
                  <c:v>0.69359999999999999</c:v>
                </c:pt>
                <c:pt idx="1">
                  <c:v>0.70040000000000002</c:v>
                </c:pt>
                <c:pt idx="2">
                  <c:v>0.6744</c:v>
                </c:pt>
                <c:pt idx="3">
                  <c:v>0.59130000000000005</c:v>
                </c:pt>
                <c:pt idx="4">
                  <c:v>0.55490000000000006</c:v>
                </c:pt>
                <c:pt idx="5">
                  <c:v>0.53539999999999999</c:v>
                </c:pt>
                <c:pt idx="6">
                  <c:v>0.6411</c:v>
                </c:pt>
                <c:pt idx="7">
                  <c:v>0.70140000000000002</c:v>
                </c:pt>
                <c:pt idx="8">
                  <c:v>0.6149</c:v>
                </c:pt>
                <c:pt idx="9">
                  <c:v>0.67709999999999992</c:v>
                </c:pt>
                <c:pt idx="10">
                  <c:v>0.70290000000000008</c:v>
                </c:pt>
                <c:pt idx="11">
                  <c:v>0.64480000000000004</c:v>
                </c:pt>
                <c:pt idx="12">
                  <c:v>0.64389915575102641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356-4830-A726-7517B5DCF31C}"/>
            </c:ext>
          </c:extLst>
        </c:ser>
        <c:ser>
          <c:idx val="1"/>
          <c:order val="3"/>
          <c:tx>
            <c:strRef>
              <c:f>'tasa de ocupación evol mens'!$K$51:$L$51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Pt>
            <c:idx val="1"/>
            <c:marker>
              <c:symbol val="circle"/>
              <c:size val="5"/>
              <c:spPr>
                <a:solidFill>
                  <a:srgbClr val="58B6C0"/>
                </a:solidFill>
                <a:ln w="9525">
                  <a:solidFill>
                    <a:schemeClr val="accent2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58B6C0">
                    <a:shade val="95000"/>
                    <a:satMod val="105000"/>
                  </a:srgbClr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7-3356-4830-A726-7517B5DCF31C}"/>
              </c:ext>
            </c:extLst>
          </c:dPt>
          <c:dPt>
            <c:idx val="12"/>
            <c:marker>
              <c:symbol val="circl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spPr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9-3356-4830-A726-7517B5DCF31C}"/>
              </c:ext>
            </c:extLst>
          </c:dPt>
          <c:cat>
            <c:strRef>
              <c:f>'tasa de ocupación evol mens'!$A$9:$A$21</c:f>
              <c:strCache>
                <c:ptCount val="13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  <c:pt idx="12">
                  <c:v>Total</c:v>
                </c:pt>
              </c:strCache>
            </c:strRef>
          </c:cat>
          <c:val>
            <c:numRef>
              <c:f>'tasa de ocupación evol mens'!$K$53:$K$65</c:f>
              <c:numCache>
                <c:formatCode>0.0%</c:formatCode>
                <c:ptCount val="13"/>
                <c:pt idx="0">
                  <c:v>0.6139</c:v>
                </c:pt>
                <c:pt idx="1">
                  <c:v>0.67549999999999999</c:v>
                </c:pt>
                <c:pt idx="2">
                  <c:v>0.61439999999999995</c:v>
                </c:pt>
                <c:pt idx="3">
                  <c:v>0.51929999999999998</c:v>
                </c:pt>
                <c:pt idx="4">
                  <c:v>0.51350000000000007</c:v>
                </c:pt>
                <c:pt idx="5">
                  <c:v>0.44600000000000001</c:v>
                </c:pt>
                <c:pt idx="6">
                  <c:v>0.53759999999999997</c:v>
                </c:pt>
                <c:pt idx="12">
                  <c:v>0.55912603274480621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3356-4830-A726-7517B5DCF3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  <c:extLst>
          <c:ext xmlns:c15="http://schemas.microsoft.com/office/drawing/2012/chart" uri="{02D57815-91ED-43cb-92C2-25804820EDAC}">
            <c15:filteredLineSeries>
              <c15:ser>
                <c:idx val="3"/>
                <c:order val="0"/>
                <c:tx>
                  <c:strRef>
                    <c:extLst>
                      <c:ext uri="{02D57815-91ED-43cb-92C2-25804820EDAC}">
                        <c15:formulaRef>
                          <c15:sqref>'tasa de ocupación evol mens'!$C$51:$D$51</c15:sqref>
                        </c15:formulaRef>
                      </c:ext>
                    </c:extLst>
                    <c:strCache>
                      <c:ptCount val="1"/>
                      <c:pt idx="0">
                        <c:v>2022</c:v>
                      </c:pt>
                    </c:strCache>
                  </c:strRef>
                </c:tx>
                <c:spPr>
                  <a:ln w="28575" cap="rnd">
                    <a:solidFill>
                      <a:schemeClr val="accent4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bg1">
                        <a:lumMod val="65000"/>
                      </a:schemeClr>
                    </a:solidFill>
                    <a:ln w="9525">
                      <a:solidFill>
                        <a:schemeClr val="bg1">
                          <a:lumMod val="65000"/>
                        </a:schemeClr>
                      </a:solidFill>
                    </a:ln>
                    <a:effectLst/>
                  </c:spPr>
                </c:marker>
                <c:dPt>
                  <c:idx val="12"/>
                  <c:marker>
                    <c:symbol val="circle"/>
                    <c:size val="5"/>
                    <c:spPr>
                      <a:noFill/>
                      <a:ln w="9525">
                        <a:noFill/>
                      </a:ln>
                      <a:effectLst/>
                    </c:spPr>
                  </c:marker>
                  <c:bubble3D val="0"/>
                  <c:spPr>
                    <a:ln w="28575" cap="rnd">
                      <a:noFill/>
                      <a:round/>
                    </a:ln>
                    <a:effectLst/>
                  </c:spPr>
                  <c:extLst>
                    <c:ext xmlns:c16="http://schemas.microsoft.com/office/drawing/2014/chart" uri="{C3380CC4-5D6E-409C-BE32-E72D297353CC}">
                      <c16:uniqueId val="{0000001A-3356-4830-A726-7517B5DCF31C}"/>
                    </c:ext>
                  </c:extLst>
                </c:dPt>
                <c:cat>
                  <c:strRef>
                    <c:extLst>
                      <c:ext uri="{02D57815-91ED-43cb-92C2-25804820EDAC}">
                        <c15:formulaRef>
                          <c15:sqref>'tasa de ocupación evol mens'!$A$9:$A$21</c15:sqref>
                        </c15:formulaRef>
                      </c:ext>
                    </c:extLst>
                    <c:strCache>
                      <c:ptCount val="13"/>
                      <c:pt idx="0">
                        <c:v>ene</c:v>
                      </c:pt>
                      <c:pt idx="1">
                        <c:v>feb</c:v>
                      </c:pt>
                      <c:pt idx="2">
                        <c:v>mar</c:v>
                      </c:pt>
                      <c:pt idx="3">
                        <c:v>abr</c:v>
                      </c:pt>
                      <c:pt idx="4">
                        <c:v>may</c:v>
                      </c:pt>
                      <c:pt idx="5">
                        <c:v>jun</c:v>
                      </c:pt>
                      <c:pt idx="6">
                        <c:v>jul</c:v>
                      </c:pt>
                      <c:pt idx="7">
                        <c:v>ago</c:v>
                      </c:pt>
                      <c:pt idx="8">
                        <c:v>sep</c:v>
                      </c:pt>
                      <c:pt idx="9">
                        <c:v>oct</c:v>
                      </c:pt>
                      <c:pt idx="10">
                        <c:v>nov</c:v>
                      </c:pt>
                      <c:pt idx="11">
                        <c:v>dic</c:v>
                      </c:pt>
                      <c:pt idx="12">
                        <c:v>Total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'tasa de ocupación evol mens'!$C$53:$C$65</c15:sqref>
                        </c15:formulaRef>
                      </c:ext>
                    </c:extLst>
                    <c:numCache>
                      <c:formatCode>0.0%</c:formatCode>
                      <c:ptCount val="13"/>
                      <c:pt idx="0">
                        <c:v>0.49819999999999998</c:v>
                      </c:pt>
                      <c:pt idx="1">
                        <c:v>0.58590000000000009</c:v>
                      </c:pt>
                      <c:pt idx="2">
                        <c:v>0.59989999999999999</c:v>
                      </c:pt>
                      <c:pt idx="3">
                        <c:v>0.58599999999999997</c:v>
                      </c:pt>
                      <c:pt idx="4">
                        <c:v>0.51639999999999997</c:v>
                      </c:pt>
                      <c:pt idx="5">
                        <c:v>0.48649999999999999</c:v>
                      </c:pt>
                      <c:pt idx="6">
                        <c:v>0.53449999999999998</c:v>
                      </c:pt>
                      <c:pt idx="7">
                        <c:v>0.55869999999999997</c:v>
                      </c:pt>
                      <c:pt idx="8">
                        <c:v>0.48299999999999998</c:v>
                      </c:pt>
                      <c:pt idx="9">
                        <c:v>0.52469999999999994</c:v>
                      </c:pt>
                      <c:pt idx="10">
                        <c:v>0.66370000000000007</c:v>
                      </c:pt>
                      <c:pt idx="11">
                        <c:v>0.59799999999999998</c:v>
                      </c:pt>
                      <c:pt idx="12">
                        <c:v>0.55261090702655957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1B-3356-4830-A726-7517B5DCF31C}"/>
                  </c:ext>
                </c:extLst>
              </c15:ser>
            </c15:filteredLineSeries>
          </c:ext>
        </c:extLst>
      </c:lineChart>
      <c:lineChart>
        <c:grouping val="standard"/>
        <c:varyColors val="0"/>
        <c:ser>
          <c:idx val="2"/>
          <c:order val="4"/>
          <c:tx>
            <c:strRef>
              <c:f>'tasa de ocupación evol mens'!$L$52</c:f>
              <c:strCache>
                <c:ptCount val="1"/>
                <c:pt idx="0">
                  <c:v>var 26/25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dPt>
            <c:idx val="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3356-4830-A726-7517B5DCF31C}"/>
              </c:ext>
            </c:extLst>
          </c:dPt>
          <c:dPt>
            <c:idx val="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3356-4830-A726-7517B5DCF31C}"/>
              </c:ext>
            </c:extLst>
          </c:dPt>
          <c:dPt>
            <c:idx val="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3356-4830-A726-7517B5DCF31C}"/>
              </c:ext>
            </c:extLst>
          </c:dPt>
          <c:dPt>
            <c:idx val="3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3356-4830-A726-7517B5DCF31C}"/>
              </c:ext>
            </c:extLst>
          </c:dPt>
          <c:dPt>
            <c:idx val="4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3356-4830-A726-7517B5DCF31C}"/>
              </c:ext>
            </c:extLst>
          </c:dPt>
          <c:dPt>
            <c:idx val="5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3356-4830-A726-7517B5DCF31C}"/>
              </c:ext>
            </c:extLst>
          </c:dPt>
          <c:dPt>
            <c:idx val="6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3356-4830-A726-7517B5DCF31C}"/>
              </c:ext>
            </c:extLst>
          </c:dPt>
          <c:dPt>
            <c:idx val="7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2-3356-4830-A726-7517B5DCF31C}"/>
              </c:ext>
            </c:extLst>
          </c:dPt>
          <c:dPt>
            <c:idx val="8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3-3356-4830-A726-7517B5DCF31C}"/>
              </c:ext>
            </c:extLst>
          </c:dPt>
          <c:dPt>
            <c:idx val="9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4-3356-4830-A726-7517B5DCF31C}"/>
              </c:ext>
            </c:extLst>
          </c:dPt>
          <c:dPt>
            <c:idx val="10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5-3356-4830-A726-7517B5DCF31C}"/>
              </c:ext>
            </c:extLst>
          </c:dPt>
          <c:dPt>
            <c:idx val="11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6-3356-4830-A726-7517B5DCF31C}"/>
              </c:ext>
            </c:extLst>
          </c:dPt>
          <c:dPt>
            <c:idx val="12"/>
            <c:marker>
              <c:symbol val="square"/>
              <c:size val="5"/>
              <c:spPr>
                <a:noFill/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7-3356-4830-A726-7517B5DCF31C}"/>
              </c:ext>
            </c:extLst>
          </c:dPt>
          <c:cat>
            <c:strRef>
              <c:f>'tasa de ocupación evol mens'!$B$53:$B$64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'tasa de ocupación evol mens'!$L$53:$L$65</c:f>
              <c:numCache>
                <c:formatCode>0.0%</c:formatCode>
                <c:ptCount val="13"/>
                <c:pt idx="0">
                  <c:v>-0.11490772779700109</c:v>
                </c:pt>
                <c:pt idx="1">
                  <c:v>-3.5551113649343269E-2</c:v>
                </c:pt>
                <c:pt idx="2">
                  <c:v>-8.8967971530249157E-2</c:v>
                </c:pt>
                <c:pt idx="3">
                  <c:v>-0.12176560121765612</c:v>
                </c:pt>
                <c:pt idx="4">
                  <c:v>-7.4608037484231393E-2</c:v>
                </c:pt>
                <c:pt idx="5">
                  <c:v>-0.1669779604034366</c:v>
                </c:pt>
                <c:pt idx="6">
                  <c:v>-0.16144127281235388</c:v>
                </c:pt>
                <c:pt idx="12">
                  <c:v>-0.10807891256243385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8-3356-4830-A726-7517B5DCF3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83227839"/>
        <c:axId val="383247327"/>
      </c:lineChart>
      <c:catAx>
        <c:axId val="29373126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autoZero"/>
        <c:crossBetween val="between"/>
      </c:valAx>
      <c:valAx>
        <c:axId val="383247327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83227839"/>
        <c:crosses val="max"/>
        <c:crossBetween val="between"/>
      </c:valAx>
      <c:catAx>
        <c:axId val="38322783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83247327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5.8426500876382174E-3"/>
          <c:y val="0.5733020131929728"/>
          <c:w val="0.97760879170679205"/>
          <c:h val="0.2247541019961255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'distribución españoles x Resid'!$J$5</c:f>
              <c:strCache>
                <c:ptCount val="1"/>
                <c:pt idx="0">
                  <c:v>acumulado julio 2025</c:v>
                </c:pt>
              </c:strCache>
            </c:strRef>
          </c:tx>
          <c:spPr>
            <a:solidFill>
              <a:schemeClr val="accent6"/>
            </a:solidFill>
            <a:ln w="28575">
              <a:solidFill>
                <a:schemeClr val="bg1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s-ES"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Resid'!$J$8,'distribución españoles x Resid'!$J$10:$J$11)</c:f>
              <c:numCache>
                <c:formatCode>#,##0</c:formatCode>
                <c:ptCount val="3"/>
                <c:pt idx="0">
                  <c:v>50408</c:v>
                </c:pt>
                <c:pt idx="1">
                  <c:v>22696</c:v>
                </c:pt>
                <c:pt idx="2">
                  <c:v>32530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C6D-424A-A312-D9AE6259112A}"/>
            </c:ext>
          </c:extLst>
        </c:ser>
        <c:ser>
          <c:idx val="0"/>
          <c:order val="1"/>
          <c:tx>
            <c:strRef>
              <c:f>'distribución españoles x Resid'!$N$5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bg1"/>
              </a:solidFill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 rot="-5400000" vert="horz"/>
              <a:lstStyle/>
              <a:p>
                <a:pPr algn="ctr">
                  <a:defRPr sz="12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50727</c:v>
                </c:pt>
                <c:pt idx="1">
                  <c:v>17493</c:v>
                </c:pt>
                <c:pt idx="2">
                  <c:v>37723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C6D-424A-A312-D9AE625911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1632"/>
        <c:axId val="-1992649584"/>
      </c:barChart>
      <c:barChart>
        <c:barDir val="col"/>
        <c:grouping val="clustered"/>
        <c:varyColors val="0"/>
        <c:ser>
          <c:idx val="3"/>
          <c:order val="3"/>
          <c:tx>
            <c:v>cuota</c:v>
          </c:tx>
          <c:spPr>
            <a:noFill/>
            <a:ln w="12700">
              <a:solidFill>
                <a:srgbClr val="9BBB59">
                  <a:lumMod val="75000"/>
                </a:srgbClr>
              </a:solidFill>
            </a:ln>
          </c:spPr>
          <c:invertIfNegative val="0"/>
          <c:dPt>
            <c:idx val="0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3-4C6D-424A-A312-D9AE6259112A}"/>
              </c:ext>
            </c:extLst>
          </c:dPt>
          <c:dPt>
            <c:idx val="1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5-4C6D-424A-A312-D9AE6259112A}"/>
              </c:ext>
            </c:extLst>
          </c:dPt>
          <c:dPt>
            <c:idx val="2"/>
            <c:invertIfNegative val="0"/>
            <c:bubble3D val="0"/>
            <c:spPr>
              <a:noFill/>
              <a:ln w="12700">
                <a:noFill/>
              </a:ln>
            </c:spPr>
            <c:extLst>
              <c:ext xmlns:c16="http://schemas.microsoft.com/office/drawing/2014/chart" uri="{C3380CC4-5D6E-409C-BE32-E72D297353CC}">
                <c16:uniqueId val="{00000007-4C6D-424A-A312-D9AE6259112A}"/>
              </c:ext>
            </c:extLst>
          </c:dPt>
          <c:dLbls>
            <c:dLbl>
              <c:idx val="0"/>
              <c:layout>
                <c:manualLayout>
                  <c:x val="2.2408963585434184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6D-424A-A312-D9AE6259112A}"/>
                </c:ext>
              </c:extLst>
            </c:dLbl>
            <c:dLbl>
              <c:idx val="1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6D-424A-A312-D9AE6259112A}"/>
                </c:ext>
              </c:extLst>
            </c:dLbl>
            <c:dLbl>
              <c:idx val="2"/>
              <c:layout>
                <c:manualLayout>
                  <c:x val="3.3613445378151259E-2"/>
                  <c:y val="7.739665787159190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6D-424A-A312-D9AE6259112A}"/>
                </c:ext>
              </c:extLst>
            </c:dLbl>
            <c:dLbl>
              <c:idx val="3"/>
              <c:layout>
                <c:manualLayout>
                  <c:x val="3.8095238095238099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C6D-424A-A312-D9AE6259112A}"/>
                </c:ext>
              </c:extLst>
            </c:dLbl>
            <c:dLbl>
              <c:idx val="4"/>
              <c:layout>
                <c:manualLayout>
                  <c:x val="3.5854341736694599E-2"/>
                  <c:y val="8.091468777484608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6D-424A-A312-D9AE6259112A}"/>
                </c:ext>
              </c:extLst>
            </c:dLbl>
            <c:dLbl>
              <c:idx val="5"/>
              <c:layout>
                <c:manualLayout>
                  <c:x val="4.0336134453781515E-2"/>
                  <c:y val="7.387862796833773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C6D-424A-A312-D9AE6259112A}"/>
                </c:ext>
              </c:extLst>
            </c:dLbl>
            <c:spPr>
              <a:noFill/>
              <a:ln>
                <a:solidFill>
                  <a:srgbClr val="9BBB59">
                    <a:lumMod val="75000"/>
                  </a:srgbClr>
                </a:solidFill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>
                    <a:solidFill>
                      <a:schemeClr val="bg1">
                        <a:lumMod val="65000"/>
                      </a:schemeClr>
                    </a:solidFill>
                    <a:latin typeface="+mn-lt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('distribución españoles x Resid'!$S$8,'distribución españoles x Resid'!$S$10,'distribución españoles x Resid'!$S$11)</c:f>
              <c:numCache>
                <c:formatCode>0.0%</c:formatCode>
                <c:ptCount val="3"/>
                <c:pt idx="0">
                  <c:v>0.4788140792690409</c:v>
                </c:pt>
                <c:pt idx="1">
                  <c:v>0.16511709126605817</c:v>
                </c:pt>
                <c:pt idx="2">
                  <c:v>0.35606882946490093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C6D-424A-A312-D9AE625911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5"/>
        <c:axId val="-1992634352"/>
        <c:axId val="-1992646864"/>
      </c:barChart>
      <c:lineChart>
        <c:grouping val="standard"/>
        <c:varyColors val="0"/>
        <c:ser>
          <c:idx val="1"/>
          <c:order val="2"/>
          <c:tx>
            <c:strRef>
              <c:f>'distribución españoles x Resid'!$O$5</c:f>
              <c:strCache>
                <c:ptCount val="1"/>
                <c:pt idx="0">
                  <c:v>var. 26/25</c:v>
                </c:pt>
              </c:strCache>
            </c:strRef>
          </c:tx>
          <c:spPr>
            <a:ln w="28575">
              <a:noFill/>
            </a:ln>
          </c:spPr>
          <c:marker>
            <c:spPr>
              <a:noFill/>
              <a:ln w="12700">
                <a:solidFill>
                  <a:schemeClr val="accent6"/>
                </a:solidFill>
              </a:ln>
            </c:spPr>
          </c:marker>
          <c:dPt>
            <c:idx val="0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C-4C6D-424A-A312-D9AE6259112A}"/>
              </c:ext>
            </c:extLst>
          </c:dPt>
          <c:dPt>
            <c:idx val="1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4C6D-424A-A312-D9AE6259112A}"/>
              </c:ext>
            </c:extLst>
          </c:dPt>
          <c:dPt>
            <c:idx val="2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E-4C6D-424A-A312-D9AE6259112A}"/>
              </c:ext>
            </c:extLst>
          </c:dPt>
          <c:dPt>
            <c:idx val="3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F-4C6D-424A-A312-D9AE6259112A}"/>
              </c:ext>
            </c:extLst>
          </c:dPt>
          <c:dPt>
            <c:idx val="4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0-4C6D-424A-A312-D9AE6259112A}"/>
              </c:ext>
            </c:extLst>
          </c:dPt>
          <c:dPt>
            <c:idx val="5"/>
            <c:marker>
              <c:spPr>
                <a:noFill/>
                <a:ln w="12700"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11-4C6D-424A-A312-D9AE6259112A}"/>
              </c:ext>
            </c:extLst>
          </c:dPt>
          <c:dLbls>
            <c:dLbl>
              <c:idx val="0"/>
              <c:layout>
                <c:manualLayout>
                  <c:x val="-5.6085850813717919E-2"/>
                  <c:y val="-0.3882775338836916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C6D-424A-A312-D9AE6259112A}"/>
                </c:ext>
              </c:extLst>
            </c:dLbl>
            <c:dLbl>
              <c:idx val="1"/>
              <c:layout>
                <c:manualLayout>
                  <c:x val="-4.1760392381352811E-2"/>
                  <c:y val="-0.305844772657881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C6D-424A-A312-D9AE6259112A}"/>
                </c:ext>
              </c:extLst>
            </c:dLbl>
            <c:dLbl>
              <c:idx val="2"/>
              <c:layout>
                <c:manualLayout>
                  <c:x val="-2.9322635206400466E-2"/>
                  <c:y val="-0.2686359015249675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4C6D-424A-A312-D9AE6259112A}"/>
                </c:ext>
              </c:extLst>
            </c:dLbl>
            <c:dLbl>
              <c:idx val="3"/>
              <c:layout>
                <c:manualLayout>
                  <c:x val="-2.617759233913217E-2"/>
                  <c:y val="-0.2359705452928810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6D-424A-A312-D9AE6259112A}"/>
                </c:ext>
              </c:extLst>
            </c:dLbl>
            <c:dLbl>
              <c:idx val="4"/>
              <c:layout>
                <c:manualLayout>
                  <c:x val="-3.7427537735676572E-2"/>
                  <c:y val="-0.2083128129967075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C6D-424A-A312-D9AE6259112A}"/>
                </c:ext>
              </c:extLst>
            </c:dLbl>
            <c:dLbl>
              <c:idx val="5"/>
              <c:layout>
                <c:manualLayout>
                  <c:x val="-5.2666710778799711E-2"/>
                  <c:y val="-0.2380825351976122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C6D-424A-A312-D9AE6259112A}"/>
                </c:ext>
              </c:extLst>
            </c:dLbl>
            <c:numFmt formatCode="0.0%" sourceLinked="0"/>
            <c:spPr>
              <a:noFill/>
              <a:ln w="12700">
                <a:solidFill>
                  <a:srgbClr val="1ECAD3"/>
                </a:solidFill>
              </a:ln>
            </c:spPr>
            <c:txPr>
              <a:bodyPr/>
              <a:lstStyle/>
              <a:p>
                <a:pPr>
                  <a:defRPr sz="1200" b="1" i="0" u="none" strike="noStrike" baseline="0">
                    <a:solidFill>
                      <a:schemeClr val="accent3"/>
                    </a:solidFill>
                    <a:latin typeface="+mn-lt"/>
                    <a:ea typeface="Arial"/>
                    <a:cs typeface="Arial"/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Resid'!$O$8,'distribución españoles x Resid'!$O$10:$O$11)</c:f>
              <c:numCache>
                <c:formatCode>0.0%</c:formatCode>
                <c:ptCount val="3"/>
                <c:pt idx="0">
                  <c:v>6.328360577686043E-3</c:v>
                </c:pt>
                <c:pt idx="1">
                  <c:v>-0.22924744448360945</c:v>
                </c:pt>
                <c:pt idx="2">
                  <c:v>0.1596372579157701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4C6D-424A-A312-D9AE6259112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-1992634352"/>
        <c:axId val="-1992646864"/>
      </c:lineChart>
      <c:catAx>
        <c:axId val="-199263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12700">
            <a:noFill/>
            <a:prstDash val="solid"/>
          </a:ln>
        </c:spPr>
        <c:txPr>
          <a:bodyPr rot="0" vert="horz"/>
          <a:lstStyle/>
          <a:p>
            <a:pPr rtl="0">
              <a:defRPr sz="11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+mn-lt"/>
                <a:ea typeface="Arial"/>
                <a:cs typeface="Arial"/>
              </a:defRPr>
            </a:pPr>
            <a:endParaRPr lang="es-ES"/>
          </a:p>
        </c:txPr>
        <c:crossAx val="-1992649584"/>
        <c:crosses val="autoZero"/>
        <c:auto val="1"/>
        <c:lblAlgn val="ctr"/>
        <c:lblOffset val="700"/>
        <c:tickLblSkip val="1"/>
        <c:tickMarkSkip val="1"/>
        <c:noMultiLvlLbl val="0"/>
      </c:catAx>
      <c:valAx>
        <c:axId val="-1992649584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ln w="9525">
            <a:noFill/>
          </a:ln>
        </c:spPr>
        <c:crossAx val="-1992631632"/>
        <c:crosses val="autoZero"/>
        <c:crossBetween val="between"/>
      </c:valAx>
      <c:catAx>
        <c:axId val="-1992634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992646864"/>
        <c:crosses val="autoZero"/>
        <c:auto val="1"/>
        <c:lblAlgn val="ctr"/>
        <c:lblOffset val="100"/>
        <c:noMultiLvlLbl val="0"/>
      </c:catAx>
      <c:valAx>
        <c:axId val="-1992646864"/>
        <c:scaling>
          <c:orientation val="minMax"/>
          <c:max val="0.5"/>
          <c:min val="-0.5"/>
        </c:scaling>
        <c:delete val="1"/>
        <c:axPos val="r"/>
        <c:numFmt formatCode="0.0%" sourceLinked="1"/>
        <c:majorTickMark val="out"/>
        <c:minorTickMark val="none"/>
        <c:tickLblPos val="none"/>
        <c:crossAx val="-1992634352"/>
        <c:crosses val="max"/>
        <c:crossBetween val="between"/>
      </c:valAx>
    </c:plotArea>
    <c:legend>
      <c:legendPos val="t"/>
      <c:layout>
        <c:manualLayout>
          <c:xMode val="edge"/>
          <c:yMode val="edge"/>
          <c:x val="3.9550600542806305E-2"/>
          <c:y val="0.12537201577809509"/>
          <c:w val="0.86702381074488111"/>
          <c:h val="6.7882741570232469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50" b="0" i="0" u="none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465" r="0.75000000000001465" t="1" header="0" footer="0"/>
    <c:pageSetup paperSize="9" orientation="landscape"/>
  </c:printSettings>
  <c:userShapes r:id="rId1"/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Resid'!$N$5</c:f>
          <c:strCache>
            <c:ptCount val="1"/>
            <c:pt idx="0">
              <c:v>acumulado julio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135460146906506"/>
          <c:y val="0.2283322201574197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Resid'!$N$5</c:f>
              <c:strCache>
                <c:ptCount val="1"/>
                <c:pt idx="0">
                  <c:v>acumulado julio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05B-478A-A132-2CB4D8FE75C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05B-478A-A132-2CB4D8FE75C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B05B-478A-A132-2CB4D8FE75C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B05B-478A-A132-2CB4D8FE75C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B05B-478A-A132-2CB4D8FE75C4}"/>
              </c:ext>
            </c:extLst>
          </c:dPt>
          <c:dLbls>
            <c:dLbl>
              <c:idx val="0"/>
              <c:layout>
                <c:manualLayout>
                  <c:x val="-7.2623912404118932E-2"/>
                  <c:y val="-7.387580591664356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5B-478A-A132-2CB4D8FE75C4}"/>
                </c:ext>
              </c:extLst>
            </c:dLbl>
            <c:dLbl>
              <c:idx val="1"/>
              <c:layout>
                <c:manualLayout>
                  <c:x val="3.6318654252135235E-2"/>
                  <c:y val="0.13190362168375808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5B-478A-A132-2CB4D8FE75C4}"/>
                </c:ext>
              </c:extLst>
            </c:dLbl>
            <c:dLbl>
              <c:idx val="2"/>
              <c:layout>
                <c:manualLayout>
                  <c:x val="2.4638777203978012E-2"/>
                  <c:y val="-4.13174550526827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5B-478A-A132-2CB4D8FE75C4}"/>
                </c:ext>
              </c:extLst>
            </c:dLbl>
            <c:dLbl>
              <c:idx val="3"/>
              <c:layout>
                <c:manualLayout>
                  <c:x val="-6.361061988303239E-2"/>
                  <c:y val="4.5949859715811387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05B-478A-A132-2CB4D8FE75C4}"/>
                </c:ext>
              </c:extLst>
            </c:dLbl>
            <c:dLbl>
              <c:idx val="4"/>
              <c:layout>
                <c:manualLayout>
                  <c:x val="2.5258524449330633E-2"/>
                  <c:y val="-3.37074245029716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05B-478A-A132-2CB4D8FE75C4}"/>
                </c:ext>
              </c:extLst>
            </c:dLbl>
            <c:dLbl>
              <c:idx val="5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05B-478A-A132-2CB4D8FE75C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Resid'!$B$8,'distribución españoles x Resid'!$B$10:$B$11)</c:f>
              <c:strCache>
                <c:ptCount val="3"/>
                <c:pt idx="0">
                  <c:v>Península</c:v>
                </c:pt>
                <c:pt idx="1">
                  <c:v>Residentes en Tenerife</c:v>
                </c:pt>
                <c:pt idx="2">
                  <c:v>Residentes resto de Canarias</c:v>
                </c:pt>
              </c:strCache>
            </c:strRef>
          </c:cat>
          <c:val>
            <c:numRef>
              <c:f>('distribución españoles x Resid'!$N$8,'distribución españoles x Resid'!$N$10:$N$11)</c:f>
              <c:numCache>
                <c:formatCode>#,##0</c:formatCode>
                <c:ptCount val="3"/>
                <c:pt idx="0">
                  <c:v>50727</c:v>
                </c:pt>
                <c:pt idx="1">
                  <c:v>17493</c:v>
                </c:pt>
                <c:pt idx="2">
                  <c:v>37723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B05B-478A-A132-2CB4D8FE7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0BD-4F57-AE58-C8DDCE5D0A27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0BD-4F57-AE58-C8DDCE5D0A27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0BD-4F57-AE58-C8DDCE5D0A27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0BD-4F57-AE58-C8DDCE5D0A27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0BD-4F57-AE58-C8DDCE5D0A27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0BD-4F57-AE58-C8DDCE5D0A27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0BD-4F57-AE58-C8DDCE5D0A27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0BD-4F57-AE58-C8DDCE5D0A27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0BD-4F57-AE58-C8DDCE5D0A27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0BD-4F57-AE58-C8DDCE5D0A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30BD-4F57-AE58-C8DDCE5D0A27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0BD-4F57-AE58-C8DDCE5D0A27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0BD-4F57-AE58-C8DDCE5D0A27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0BD-4F57-AE58-C8DDCE5D0A27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0BD-4F57-AE58-C8DDCE5D0A2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30BD-4F57-AE58-C8DDCE5D0A27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30BD-4F57-AE58-C8DDCE5D0A27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0BD-4F57-AE58-C8DDCE5D0A27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0BD-4F57-AE58-C8DDCE5D0A27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0BD-4F57-AE58-C8DDCE5D0A27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0BD-4F57-AE58-C8DDCE5D0A27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0BD-4F57-AE58-C8DDCE5D0A27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0BD-4F57-AE58-C8DDCE5D0A27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0BD-4F57-AE58-C8DDCE5D0A27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30BD-4F57-AE58-C8DDCE5D0A27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30BD-4F57-AE58-C8DDCE5D0A27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30BD-4F57-AE58-C8DDCE5D0A27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30BD-4F57-AE58-C8DDCE5D0A27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30BD-4F57-AE58-C8DDCE5D0A27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0BD-4F57-AE58-C8DDCE5D0A27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0BD-4F57-AE58-C8DDCE5D0A27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0BD-4F57-AE58-C8DDCE5D0A27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0BD-4F57-AE58-C8DDCE5D0A27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30BD-4F57-AE58-C8DDCE5D0A27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30BD-4F57-AE58-C8DDCE5D0A27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30BD-4F57-AE58-C8DDCE5D0A27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30BD-4F57-AE58-C8DDCE5D0A27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30BD-4F57-AE58-C8DDCE5D0A27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30BD-4F57-AE58-C8DDCE5D0A27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30BD-4F57-AE58-C8DDCE5D0A27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30BD-4F57-AE58-C8DDCE5D0A27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30BD-4F57-AE58-C8DDCE5D0A27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30BD-4F57-AE58-C8DDCE5D0A27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30BD-4F57-AE58-C8DDCE5D0A27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30BD-4F57-AE58-C8DDCE5D0A27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30BD-4F57-AE58-C8DDCE5D0A27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30BD-4F57-AE58-C8DDCE5D0A27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30BD-4F57-AE58-C8DDCE5D0A27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30BD-4F57-AE58-C8DDCE5D0A27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30BD-4F57-AE58-C8DDCE5D0A27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30BD-4F57-AE58-C8DDCE5D0A27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30BD-4F57-AE58-C8DDCE5D0A27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30BD-4F57-AE58-C8DDCE5D0A27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30BD-4F57-AE58-C8DDCE5D0A27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30BD-4F57-AE58-C8DDCE5D0A27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30BD-4F57-AE58-C8DDCE5D0A27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30BD-4F57-AE58-C8DDCE5D0A27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30BD-4F57-AE58-C8DDCE5D0A27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30BD-4F57-AE58-C8DDCE5D0A27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30BD-4F57-AE58-C8DDCE5D0A27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30BD-4F57-AE58-C8DDCE5D0A27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30BD-4F57-AE58-C8DDCE5D0A27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30BD-4F57-AE58-C8DDCE5D0A27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30BD-4F57-AE58-C8DDCE5D0A27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30BD-4F57-AE58-C8DDCE5D0A27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30BD-4F57-AE58-C8DDCE5D0A27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30BD-4F57-AE58-C8DDCE5D0A27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30BD-4F57-AE58-C8DDCE5D0A27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30BD-4F57-AE58-C8DDCE5D0A27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30BD-4F57-AE58-C8DDCE5D0A27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30BD-4F57-AE58-C8DDCE5D0A27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30BD-4F57-AE58-C8DDCE5D0A27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30BD-4F57-AE58-C8DDCE5D0A27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30BD-4F57-AE58-C8DDCE5D0A27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30BD-4F57-AE58-C8DDCE5D0A27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30BD-4F57-AE58-C8DDCE5D0A27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30BD-4F57-AE58-C8DDCE5D0A27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30BD-4F57-AE58-C8DDCE5D0A27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30BD-4F57-AE58-C8DDCE5D0A27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30BD-4F57-AE58-C8DDCE5D0A27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30BD-4F57-AE58-C8DDCE5D0A27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30BD-4F57-AE58-C8DDCE5D0A27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30BD-4F57-AE58-C8DDCE5D0A27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30BD-4F57-AE58-C8DDCE5D0A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cate'!$O$5</c:f>
          <c:strCache>
            <c:ptCount val="1"/>
            <c:pt idx="0">
              <c:v>acumulado julio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cate'!$O$5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638D-48FF-9350-8ADD8B3E65FE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638D-48FF-9350-8ADD8B3E65FE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38D-48FF-9350-8ADD8B3E65FE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38D-48FF-9350-8ADD8B3E65FE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españoles x cate'!$A$8:$A$9,'distribución españoles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españoles x cate'!$O$8:$O$9,'distribución españoles x cate'!$O$11:$O$12)</c:f>
              <c:numCache>
                <c:formatCode>#,##0</c:formatCode>
                <c:ptCount val="2"/>
                <c:pt idx="0">
                  <c:v>36389</c:v>
                </c:pt>
                <c:pt idx="1">
                  <c:v>69554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8D-48FF-9350-8ADD8B3E65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cate'!$B$3</c:f>
          <c:strCache>
            <c:ptCount val="1"/>
            <c:pt idx="0">
              <c:v>Viajeros españoles entrados en los hoteles y apartamentos de Santa Cruz de Tenerife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cate'!$G$5</c:f>
              <c:strCache>
                <c:ptCount val="1"/>
                <c:pt idx="0">
                  <c:v>acumulado julio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españoles x cate'!$G$7:$G$10</c:f>
              <c:numCache>
                <c:formatCode>#,##0</c:formatCode>
                <c:ptCount val="4"/>
                <c:pt idx="0">
                  <c:v>91656</c:v>
                </c:pt>
                <c:pt idx="1">
                  <c:v>41789</c:v>
                </c:pt>
                <c:pt idx="2">
                  <c:v>49867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BF-443C-AFD6-2B44B49C5BE8}"/>
            </c:ext>
          </c:extLst>
        </c:ser>
        <c:ser>
          <c:idx val="1"/>
          <c:order val="1"/>
          <c:tx>
            <c:strRef>
              <c:f>'distribución españoles x cate'!$K$5</c:f>
              <c:strCache>
                <c:ptCount val="1"/>
                <c:pt idx="0">
                  <c:v>acumulado julio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cate'!$K$7:$K$12</c:f>
              <c:numCache>
                <c:formatCode>#,##0</c:formatCode>
                <c:ptCount val="4"/>
                <c:pt idx="0">
                  <c:v>105634</c:v>
                </c:pt>
                <c:pt idx="1">
                  <c:v>36182</c:v>
                </c:pt>
                <c:pt idx="2">
                  <c:v>69452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BF-443C-AFD6-2B44B49C5BE8}"/>
            </c:ext>
          </c:extLst>
        </c:ser>
        <c:ser>
          <c:idx val="2"/>
          <c:order val="2"/>
          <c:tx>
            <c:strRef>
              <c:f>'distribución españoles x cate'!$O$5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cate'!$O$7:$O$12</c:f>
              <c:numCache>
                <c:formatCode>#,##0</c:formatCode>
                <c:ptCount val="4"/>
                <c:pt idx="0">
                  <c:v>105943</c:v>
                </c:pt>
                <c:pt idx="1">
                  <c:v>36389</c:v>
                </c:pt>
                <c:pt idx="2">
                  <c:v>69554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4BF-443C-AFD6-2B44B49C5B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cate'!$P$7:$P$12</c:f>
              <c:numCache>
                <c:formatCode>0.0%</c:formatCode>
                <c:ptCount val="4"/>
                <c:pt idx="0">
                  <c:v>2.9251945396369106E-3</c:v>
                </c:pt>
                <c:pt idx="1">
                  <c:v>5.7210767785087491E-3</c:v>
                </c:pt>
                <c:pt idx="2">
                  <c:v>1.4686402119450381E-3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4BF-443C-AFD6-2B44B49C5BE8}"/>
            </c:ext>
          </c:extLst>
        </c:ser>
        <c:ser>
          <c:idx val="6"/>
          <c:order val="4"/>
          <c:tx>
            <c:strRef>
              <c:f>'distribución españoles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cate'!$T$7:$T$12</c:f>
              <c:numCache>
                <c:formatCode>0.0%</c:formatCode>
                <c:ptCount val="4"/>
                <c:pt idx="0">
                  <c:v>1</c:v>
                </c:pt>
                <c:pt idx="1">
                  <c:v>0.34347715280858576</c:v>
                </c:pt>
                <c:pt idx="2">
                  <c:v>0.65652284719141429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4BF-443C-AFD6-2B44B49C5B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cate'!$O$5</c:f>
          <c:strCache>
            <c:ptCount val="1"/>
            <c:pt idx="0">
              <c:v>acumulado julio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peninsulare x cate'!$O$5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854-427E-B5C1-E583031DBB8E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854-427E-B5C1-E583031DBB8E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854-427E-B5C1-E583031DBB8E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854-427E-B5C1-E583031DBB8E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peninsulare x cate'!$A$8:$A$9,'distribución peninsulare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peninsulare x cate'!$O$8:$O$9,'distribución peninsulare x cate'!$O$11:$O$12)</c:f>
              <c:numCache>
                <c:formatCode>#,##0</c:formatCode>
                <c:ptCount val="2"/>
                <c:pt idx="0">
                  <c:v>13049</c:v>
                </c:pt>
                <c:pt idx="1">
                  <c:v>37678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854-427E-B5C1-E583031DBB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peninsulare x cate'!$B$3</c:f>
          <c:strCache>
            <c:ptCount val="1"/>
            <c:pt idx="0">
              <c:v>Viajeros peninsulares entrados en los hoteles y apartamentos de Santa Cruz de Tenerife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peninsulare x cate'!$G$5</c:f>
              <c:strCache>
                <c:ptCount val="1"/>
                <c:pt idx="0">
                  <c:v>acumulado julio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peninsulare x cate'!$B$7:$B$12</c:f>
              <c:strCache>
                <c:ptCount val="4"/>
                <c:pt idx="0">
                  <c:v>Hoteles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peninsulare x cate'!$G$7:$G$10</c:f>
              <c:numCache>
                <c:formatCode>#,##0</c:formatCode>
                <c:ptCount val="4"/>
                <c:pt idx="0">
                  <c:v>48274</c:v>
                </c:pt>
                <c:pt idx="1">
                  <c:v>17867</c:v>
                </c:pt>
                <c:pt idx="2">
                  <c:v>30407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78-4E39-85F0-FDAEEEB3D403}"/>
            </c:ext>
          </c:extLst>
        </c:ser>
        <c:ser>
          <c:idx val="1"/>
          <c:order val="1"/>
          <c:tx>
            <c:strRef>
              <c:f>'distribución peninsulare x cate'!$K$5</c:f>
              <c:strCache>
                <c:ptCount val="1"/>
                <c:pt idx="0">
                  <c:v>acumulado julio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cate'!$K$7:$K$12</c:f>
              <c:numCache>
                <c:formatCode>#,##0</c:formatCode>
                <c:ptCount val="4"/>
                <c:pt idx="0">
                  <c:v>50408</c:v>
                </c:pt>
                <c:pt idx="1">
                  <c:v>14306</c:v>
                </c:pt>
                <c:pt idx="2">
                  <c:v>36102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78-4E39-85F0-FDAEEEB3D403}"/>
            </c:ext>
          </c:extLst>
        </c:ser>
        <c:ser>
          <c:idx val="2"/>
          <c:order val="2"/>
          <c:tx>
            <c:strRef>
              <c:f>'distribución peninsulare x cate'!$O$5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peninsulare x cate'!$O$7:$O$12</c:f>
              <c:numCache>
                <c:formatCode>#,##0</c:formatCode>
                <c:ptCount val="4"/>
                <c:pt idx="0">
                  <c:v>50727</c:v>
                </c:pt>
                <c:pt idx="1">
                  <c:v>13049</c:v>
                </c:pt>
                <c:pt idx="2">
                  <c:v>37678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78-4E39-85F0-FDAEEEB3D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peninsulare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cate'!$P$7:$P$12</c:f>
              <c:numCache>
                <c:formatCode>0.0%</c:formatCode>
                <c:ptCount val="4"/>
                <c:pt idx="0">
                  <c:v>6.328360577686043E-3</c:v>
                </c:pt>
                <c:pt idx="1">
                  <c:v>-8.7865231371452523E-2</c:v>
                </c:pt>
                <c:pt idx="2">
                  <c:v>4.3654091186083877E-2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78-4E39-85F0-FDAEEEB3D403}"/>
            </c:ext>
          </c:extLst>
        </c:ser>
        <c:ser>
          <c:idx val="6"/>
          <c:order val="4"/>
          <c:tx>
            <c:strRef>
              <c:f>'distribución peninsulare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peninsulare x cate'!$T$7:$T$12</c:f>
              <c:numCache>
                <c:formatCode>0.0%</c:formatCode>
                <c:ptCount val="4"/>
                <c:pt idx="0">
                  <c:v>1</c:v>
                </c:pt>
                <c:pt idx="1">
                  <c:v>0.25723973426380431</c:v>
                </c:pt>
                <c:pt idx="2">
                  <c:v>0.74276026573619569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78-4E39-85F0-FDAEEEB3D4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cate'!$O$5</c:f>
          <c:strCache>
            <c:ptCount val="1"/>
            <c:pt idx="0">
              <c:v>acumulado julio 2026</c:v>
            </c:pt>
          </c:strCache>
        </c:strRef>
      </c:tx>
      <c:layout>
        <c:manualLayout>
          <c:xMode val="edge"/>
          <c:yMode val="edge"/>
          <c:x val="1.9790128254955335E-2"/>
          <c:y val="0.113786413224224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27227838455676912"/>
          <c:y val="0.27985647838041661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canarios x cate'!$O$5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C91C-4696-B3C5-2E14D03D668C}"/>
              </c:ext>
            </c:extLst>
          </c:dPt>
          <c:dPt>
            <c:idx val="1"/>
            <c:bubble3D val="0"/>
            <c:spPr>
              <a:solidFill>
                <a:schemeClr val="accent6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C91C-4696-B3C5-2E14D03D668C}"/>
              </c:ext>
            </c:extLst>
          </c:dPt>
          <c:dLbls>
            <c:dLbl>
              <c:idx val="0"/>
              <c:layout>
                <c:manualLayout>
                  <c:x val="5.8624923664234739E-2"/>
                  <c:y val="2.6266777414537038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1C-4696-B3C5-2E14D03D668C}"/>
                </c:ext>
              </c:extLst>
            </c:dLbl>
            <c:dLbl>
              <c:idx val="1"/>
              <c:layout>
                <c:manualLayout>
                  <c:x val="-2.8012260925233727E-2"/>
                  <c:y val="-8.9147432115961704E-3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accent6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1C-4696-B3C5-2E14D03D668C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('distribución canarios x cate'!$A$8:$A$9,'distribución canarios x cate'!$B$11:$B$12)</c:f>
              <c:strCache>
                <c:ptCount val="2"/>
                <c:pt idx="0">
                  <c:v>1*, 2* Y 3*</c:v>
                </c:pt>
                <c:pt idx="1">
                  <c:v>4* y 5*</c:v>
                </c:pt>
              </c:strCache>
            </c:strRef>
          </c:cat>
          <c:val>
            <c:numRef>
              <c:f>('distribución canarios x cate'!$O$8:$O$9,'distribución canarios x cate'!$O$11:$O$12)</c:f>
              <c:numCache>
                <c:formatCode>#,##0</c:formatCode>
                <c:ptCount val="2"/>
                <c:pt idx="0">
                  <c:v>23340</c:v>
                </c:pt>
                <c:pt idx="1">
                  <c:v>31876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1C-4696-B3C5-2E14D03D66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88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canarios x cate'!$B$3</c:f>
          <c:strCache>
            <c:ptCount val="1"/>
            <c:pt idx="0">
              <c:v>Viajeros canarios entrados en los hoteles y apartamentos de Santa Cruz de Tenerife por tipología y categoría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551033901177778"/>
          <c:y val="0.19147788492398393"/>
          <c:w val="0.84489659872277323"/>
          <c:h val="0.43516144913512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canarios x cate'!$G$5</c:f>
              <c:strCache>
                <c:ptCount val="1"/>
                <c:pt idx="0">
                  <c:v>acumulado julio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canarios x cate'!$B$7:$B$12</c:f>
              <c:strCache>
                <c:ptCount val="4"/>
                <c:pt idx="0">
                  <c:v>hotelera</c:v>
                </c:pt>
                <c:pt idx="1">
                  <c:v>1, 2 y 3 estrellas</c:v>
                </c:pt>
                <c:pt idx="2">
                  <c:v>4, 5 estrellas</c:v>
                </c:pt>
                <c:pt idx="3">
                  <c:v>Apartamentos</c:v>
                </c:pt>
              </c:strCache>
            </c:strRef>
          </c:cat>
          <c:val>
            <c:numRef>
              <c:f>'distribución canarios x cate'!$G$7:$G$10</c:f>
              <c:numCache>
                <c:formatCode>#,##0</c:formatCode>
                <c:ptCount val="4"/>
                <c:pt idx="0">
                  <c:v>43382</c:v>
                </c:pt>
                <c:pt idx="1">
                  <c:v>23922</c:v>
                </c:pt>
                <c:pt idx="2">
                  <c:v>19460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CD-47AA-BC92-9374B3038C9D}"/>
            </c:ext>
          </c:extLst>
        </c:ser>
        <c:ser>
          <c:idx val="1"/>
          <c:order val="1"/>
          <c:tx>
            <c:strRef>
              <c:f>'distribución canarios x cate'!$K$5</c:f>
              <c:strCache>
                <c:ptCount val="1"/>
                <c:pt idx="0">
                  <c:v>acumulado julio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cate'!$K$7:$K$12</c:f>
              <c:numCache>
                <c:formatCode>#,##0</c:formatCode>
                <c:ptCount val="4"/>
                <c:pt idx="0">
                  <c:v>55226</c:v>
                </c:pt>
                <c:pt idx="1">
                  <c:v>21876</c:v>
                </c:pt>
                <c:pt idx="2">
                  <c:v>33350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CD-47AA-BC92-9374B3038C9D}"/>
            </c:ext>
          </c:extLst>
        </c:ser>
        <c:ser>
          <c:idx val="2"/>
          <c:order val="2"/>
          <c:tx>
            <c:strRef>
              <c:f>'distribución canarios x cate'!$O$5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canarios x cate'!$O$7:$O$12</c:f>
              <c:numCache>
                <c:formatCode>#,##0</c:formatCode>
                <c:ptCount val="4"/>
                <c:pt idx="0">
                  <c:v>55216</c:v>
                </c:pt>
                <c:pt idx="1">
                  <c:v>23340</c:v>
                </c:pt>
                <c:pt idx="2">
                  <c:v>31876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2CD-47AA-BC92-9374B3038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canarios x cate'!$P$5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cate'!$P$7:$P$12</c:f>
              <c:numCache>
                <c:formatCode>0.0%</c:formatCode>
                <c:ptCount val="4"/>
                <c:pt idx="0">
                  <c:v>-1.8107413174950349E-4</c:v>
                </c:pt>
                <c:pt idx="1">
                  <c:v>6.6922654964344463E-2</c:v>
                </c:pt>
                <c:pt idx="2">
                  <c:v>-4.4197901049475297E-2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2CD-47AA-BC92-9374B3038C9D}"/>
            </c:ext>
          </c:extLst>
        </c:ser>
        <c:ser>
          <c:idx val="6"/>
          <c:order val="4"/>
          <c:tx>
            <c:strRef>
              <c:f>'distribución canarios x cate'!$T$5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canarios x cate'!$T$7:$T$12</c:f>
              <c:numCache>
                <c:formatCode>0.0%</c:formatCode>
                <c:ptCount val="4"/>
                <c:pt idx="0">
                  <c:v>1</c:v>
                </c:pt>
                <c:pt idx="1">
                  <c:v>0.42270356418429439</c:v>
                </c:pt>
                <c:pt idx="2">
                  <c:v>0.57729643581570556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2CD-47AA-BC92-9374B3038C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al'!$O$5</c:f>
          <c:strCache>
            <c:ptCount val="1"/>
            <c:pt idx="0">
              <c:v>acumulado julio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españoles x mun al'!$O$5</c:f>
              <c:strCache>
                <c:ptCount val="1"/>
                <c:pt idx="0">
                  <c:v>acumulado julio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AC4-4015-B91D-6B061984274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AC4-4015-B91D-6B061984274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AC4-4015-B91D-6B061984274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EAC4-4015-B91D-6B0619842745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EAC4-4015-B91D-6B0619842745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EAC4-4015-B91D-6B0619842745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EAC4-4015-B91D-6B0619842745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EAC4-4015-B91D-6B0619842745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EAC4-4015-B91D-6B0619842745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EAC4-4015-B91D-6B0619842745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AC4-4015-B91D-6B0619842745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AC4-4015-B91D-6B0619842745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AC4-4015-B91D-6B0619842745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AC4-4015-B91D-6B0619842745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AC4-4015-B91D-6B0619842745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AC4-4015-B91D-6B0619842745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AC4-4015-B91D-6B0619842745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AC4-4015-B91D-6B0619842745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AC4-4015-B91D-6B0619842745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EAC4-4015-B91D-6B0619842745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85765</c:v>
                </c:pt>
                <c:pt idx="1">
                  <c:v>77740</c:v>
                </c:pt>
                <c:pt idx="2">
                  <c:v>10017</c:v>
                </c:pt>
                <c:pt idx="3">
                  <c:v>237110</c:v>
                </c:pt>
                <c:pt idx="4">
                  <c:v>25425</c:v>
                </c:pt>
                <c:pt idx="5">
                  <c:v>105943</c:v>
                </c:pt>
                <c:pt idx="6">
                  <c:v>19531</c:v>
                </c:pt>
                <c:pt idx="7">
                  <c:v>23186</c:v>
                </c:pt>
                <c:pt idx="8">
                  <c:v>26764</c:v>
                </c:pt>
                <c:pt idx="9">
                  <c:v>21920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EAC4-4015-B91D-6B06198427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088-469A-A7E9-56A46FBBFFC9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088-469A-A7E9-56A46FBBFFC9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088-469A-A7E9-56A46FBBFFC9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088-469A-A7E9-56A46FBBFFC9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088-469A-A7E9-56A46FBBFFC9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088-469A-A7E9-56A46FBBFFC9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088-469A-A7E9-56A46FBBFFC9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088-469A-A7E9-56A46FBBFFC9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088-469A-A7E9-56A46FBBFFC9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088-469A-A7E9-56A46FBBFF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7088-469A-A7E9-56A46FBBFFC9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088-469A-A7E9-56A46FBBFFC9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088-469A-A7E9-56A46FBBFFC9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088-469A-A7E9-56A46FBBFFC9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088-469A-A7E9-56A46FBBFF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7088-469A-A7E9-56A46FBBFFC9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7088-469A-A7E9-56A46FBBFFC9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088-469A-A7E9-56A46FBBFFC9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088-469A-A7E9-56A46FBBFFC9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088-469A-A7E9-56A46FBBFFC9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088-469A-A7E9-56A46FBBFFC9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088-469A-A7E9-56A46FBBFFC9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088-469A-A7E9-56A46FBBFFC9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088-469A-A7E9-56A46FBBFFC9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088-469A-A7E9-56A46FBBFFC9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088-469A-A7E9-56A46FBBFFC9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7088-469A-A7E9-56A46FBBFFC9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7088-469A-A7E9-56A46FBBFFC9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7088-469A-A7E9-56A46FBBFFC9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088-469A-A7E9-56A46FBBFFC9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7088-469A-A7E9-56A46FBBFFC9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7088-469A-A7E9-56A46FBBFFC9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7088-469A-A7E9-56A46FBBFFC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7088-469A-A7E9-56A46FBBFFC9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7088-469A-A7E9-56A46FBBFFC9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7088-469A-A7E9-56A46FBBFFC9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7088-469A-A7E9-56A46FBBFFC9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7088-469A-A7E9-56A46FBBFFC9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7088-469A-A7E9-56A46FBBFFC9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7088-469A-A7E9-56A46FBBFFC9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7088-469A-A7E9-56A46FBBFFC9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7088-469A-A7E9-56A46FBBFFC9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7088-469A-A7E9-56A46FBBFFC9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7088-469A-A7E9-56A46FBBFFC9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7088-469A-A7E9-56A46FBBFFC9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7088-469A-A7E9-56A46FBBFFC9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7088-469A-A7E9-56A46FBBFFC9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7088-469A-A7E9-56A46FBBFFC9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7088-469A-A7E9-56A46FBBFFC9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7088-469A-A7E9-56A46FBBFFC9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7088-469A-A7E9-56A46FBBFFC9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7088-469A-A7E9-56A46FBBFFC9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7088-469A-A7E9-56A46FBBFFC9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7088-469A-A7E9-56A46FBBFFC9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7088-469A-A7E9-56A46FBBFFC9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7088-469A-A7E9-56A46FBBFFC9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7088-469A-A7E9-56A46FBBFFC9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7088-469A-A7E9-56A46FBBFFC9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7088-469A-A7E9-56A46FBBFFC9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7088-469A-A7E9-56A46FBBFFC9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7088-469A-A7E9-56A46FBBFFC9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7088-469A-A7E9-56A46FBBFFC9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7088-469A-A7E9-56A46FBBFFC9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7088-469A-A7E9-56A46FBBFFC9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7088-469A-A7E9-56A46FBBFFC9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7088-469A-A7E9-56A46FBBFFC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7088-469A-A7E9-56A46FBBFFC9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7088-469A-A7E9-56A46FBBFFC9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7088-469A-A7E9-56A46FBBFFC9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7088-469A-A7E9-56A46FBBFFC9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7088-469A-A7E9-56A46FBBFFC9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7088-469A-A7E9-56A46FBBFFC9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7088-469A-A7E9-56A46FBBFFC9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7088-469A-A7E9-56A46FBBFFC9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7088-469A-A7E9-56A46FBBFFC9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7088-469A-A7E9-56A46FBBFFC9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7088-469A-A7E9-56A46FBBFFC9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7088-469A-A7E9-56A46FBBFFC9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7088-469A-A7E9-56A46FBBFFC9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7088-469A-A7E9-56A46FBBFFC9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7088-469A-A7E9-56A46FBBFFC9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7088-469A-A7E9-56A46FBBFFC9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7088-469A-A7E9-56A46FBBFFC9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7088-469A-A7E9-56A46FBBFF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españoles x mun al'!$B$3</c:f>
          <c:strCache>
            <c:ptCount val="1"/>
            <c:pt idx="0">
              <c:v>Viajeros españoles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españoles x mun al'!$G$5</c:f>
              <c:strCache>
                <c:ptCount val="1"/>
                <c:pt idx="0">
                  <c:v>acumulado julio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españoles x mun al'!$B$7:$B$16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españoles x mun al'!$G$7:$G$16</c:f>
              <c:numCache>
                <c:formatCode>#,##0</c:formatCode>
                <c:ptCount val="10"/>
                <c:pt idx="0">
                  <c:v>88871</c:v>
                </c:pt>
                <c:pt idx="1">
                  <c:v>61123</c:v>
                </c:pt>
                <c:pt idx="2">
                  <c:v>8146</c:v>
                </c:pt>
                <c:pt idx="3">
                  <c:v>223795</c:v>
                </c:pt>
                <c:pt idx="4">
                  <c:v>28196</c:v>
                </c:pt>
                <c:pt idx="5">
                  <c:v>91656</c:v>
                </c:pt>
                <c:pt idx="6">
                  <c:v>20343</c:v>
                </c:pt>
                <c:pt idx="7">
                  <c:v>15171</c:v>
                </c:pt>
                <c:pt idx="8">
                  <c:v>32909</c:v>
                </c:pt>
                <c:pt idx="9">
                  <c:v>33137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1C-462F-A7FF-C53EB86E745D}"/>
            </c:ext>
          </c:extLst>
        </c:ser>
        <c:ser>
          <c:idx val="1"/>
          <c:order val="1"/>
          <c:tx>
            <c:strRef>
              <c:f>'distribución españoles x mun al'!$K$5</c:f>
              <c:strCache>
                <c:ptCount val="1"/>
                <c:pt idx="0">
                  <c:v>acumulado julio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al'!$K$7:$K$16</c:f>
              <c:numCache>
                <c:formatCode>#,##0</c:formatCode>
                <c:ptCount val="10"/>
                <c:pt idx="0">
                  <c:v>80164</c:v>
                </c:pt>
                <c:pt idx="1">
                  <c:v>63405</c:v>
                </c:pt>
                <c:pt idx="2">
                  <c:v>4833</c:v>
                </c:pt>
                <c:pt idx="3">
                  <c:v>231639</c:v>
                </c:pt>
                <c:pt idx="4">
                  <c:v>31750</c:v>
                </c:pt>
                <c:pt idx="5">
                  <c:v>105634</c:v>
                </c:pt>
                <c:pt idx="6">
                  <c:v>19090</c:v>
                </c:pt>
                <c:pt idx="7">
                  <c:v>15669</c:v>
                </c:pt>
                <c:pt idx="8">
                  <c:v>25581</c:v>
                </c:pt>
                <c:pt idx="9">
                  <c:v>29905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1C-462F-A7FF-C53EB86E745D}"/>
            </c:ext>
          </c:extLst>
        </c:ser>
        <c:ser>
          <c:idx val="2"/>
          <c:order val="2"/>
          <c:tx>
            <c:strRef>
              <c:f>'distribución españoles x mun al'!$O$5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españoles x mun al'!$O$7:$O$16</c:f>
              <c:numCache>
                <c:formatCode>#,##0</c:formatCode>
                <c:ptCount val="10"/>
                <c:pt idx="0">
                  <c:v>85765</c:v>
                </c:pt>
                <c:pt idx="1">
                  <c:v>77740</c:v>
                </c:pt>
                <c:pt idx="2">
                  <c:v>10017</c:v>
                </c:pt>
                <c:pt idx="3">
                  <c:v>237110</c:v>
                </c:pt>
                <c:pt idx="4">
                  <c:v>25425</c:v>
                </c:pt>
                <c:pt idx="5">
                  <c:v>105943</c:v>
                </c:pt>
                <c:pt idx="6">
                  <c:v>19531</c:v>
                </c:pt>
                <c:pt idx="7">
                  <c:v>23186</c:v>
                </c:pt>
                <c:pt idx="8">
                  <c:v>26764</c:v>
                </c:pt>
                <c:pt idx="9">
                  <c:v>21920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1C-462F-A7FF-C53EB86E7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españoles x mun al'!$P$5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al'!$P$7:$P$16</c:f>
              <c:numCache>
                <c:formatCode>0.0%</c:formatCode>
                <c:ptCount val="10"/>
                <c:pt idx="0">
                  <c:v>6.9869268000598783E-2</c:v>
                </c:pt>
                <c:pt idx="1">
                  <c:v>0.22608627079883292</c:v>
                </c:pt>
                <c:pt idx="2">
                  <c:v>1.0726256983240225</c:v>
                </c:pt>
                <c:pt idx="3">
                  <c:v>2.3618647982420971E-2</c:v>
                </c:pt>
                <c:pt idx="4">
                  <c:v>-0.1992125984251969</c:v>
                </c:pt>
                <c:pt idx="5">
                  <c:v>2.9251945396369106E-3</c:v>
                </c:pt>
                <c:pt idx="6">
                  <c:v>2.3101100052383527E-2</c:v>
                </c:pt>
                <c:pt idx="7">
                  <c:v>0.47973706043780706</c:v>
                </c:pt>
                <c:pt idx="8">
                  <c:v>4.624526015402064E-2</c:v>
                </c:pt>
                <c:pt idx="9">
                  <c:v>-0.26701220531683667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C1C-462F-A7FF-C53EB86E745D}"/>
            </c:ext>
          </c:extLst>
        </c:ser>
        <c:ser>
          <c:idx val="6"/>
          <c:order val="4"/>
          <c:tx>
            <c:strRef>
              <c:f>'distribución españoles x mun al'!$T$5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españoles x mun al'!$T$7:$T$16</c:f>
              <c:numCache>
                <c:formatCode>0.0%</c:formatCode>
                <c:ptCount val="10"/>
                <c:pt idx="0">
                  <c:v>0.13540395420910292</c:v>
                </c:pt>
                <c:pt idx="1">
                  <c:v>0.12273425523483543</c:v>
                </c:pt>
                <c:pt idx="2">
                  <c:v>1.581462612152491E-2</c:v>
                </c:pt>
                <c:pt idx="3">
                  <c:v>0.37434421480231322</c:v>
                </c:pt>
                <c:pt idx="4">
                  <c:v>4.0140448152118487E-2</c:v>
                </c:pt>
                <c:pt idx="5">
                  <c:v>0.16726055058327979</c:v>
                </c:pt>
                <c:pt idx="6">
                  <c:v>3.0835126562793556E-2</c:v>
                </c:pt>
                <c:pt idx="7">
                  <c:v>3.6605562668830645E-2</c:v>
                </c:pt>
                <c:pt idx="8">
                  <c:v>4.2254432815862303E-2</c:v>
                </c:pt>
                <c:pt idx="9">
                  <c:v>3.460682884933873E-2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C1C-462F-A7FF-C53EB86E74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munici'!$O$5</c:f>
          <c:strCache>
            <c:ptCount val="1"/>
            <c:pt idx="0">
              <c:v>acumulado julio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peninsula x munici'!$O$5</c:f>
              <c:strCache>
                <c:ptCount val="1"/>
                <c:pt idx="0">
                  <c:v>acumulado julio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974-4A3F-BB0E-6310097B103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974-4A3F-BB0E-6310097B103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974-4A3F-BB0E-6310097B103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F974-4A3F-BB0E-6310097B103D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F974-4A3F-BB0E-6310097B103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F974-4A3F-BB0E-6310097B103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F974-4A3F-BB0E-6310097B103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F974-4A3F-BB0E-6310097B103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F974-4A3F-BB0E-6310097B103D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F974-4A3F-BB0E-6310097B103D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974-4A3F-BB0E-6310097B103D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974-4A3F-BB0E-6310097B103D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974-4A3F-BB0E-6310097B103D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974-4A3F-BB0E-6310097B103D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974-4A3F-BB0E-6310097B103D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974-4A3F-BB0E-6310097B103D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974-4A3F-BB0E-6310097B103D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974-4A3F-BB0E-6310097B103D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974-4A3F-BB0E-6310097B103D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F974-4A3F-BB0E-6310097B103D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46059</c:v>
                </c:pt>
                <c:pt idx="1">
                  <c:v>39579</c:v>
                </c:pt>
                <c:pt idx="2">
                  <c:v>5034</c:v>
                </c:pt>
                <c:pt idx="3">
                  <c:v>162665</c:v>
                </c:pt>
                <c:pt idx="4">
                  <c:v>10765</c:v>
                </c:pt>
                <c:pt idx="5">
                  <c:v>50727</c:v>
                </c:pt>
                <c:pt idx="6">
                  <c:v>11476</c:v>
                </c:pt>
                <c:pt idx="7">
                  <c:v>8514</c:v>
                </c:pt>
                <c:pt idx="8">
                  <c:v>13478</c:v>
                </c:pt>
                <c:pt idx="9">
                  <c:v>12518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F974-4A3F-BB0E-6310097B10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579-4768-BE10-1C4CC72E850F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579-4768-BE10-1C4CC72E850F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7579-4768-BE10-1C4CC72E850F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579-4768-BE10-1C4CC72E850F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7579-4768-BE10-1C4CC72E850F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579-4768-BE10-1C4CC72E850F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7579-4768-BE10-1C4CC72E850F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579-4768-BE10-1C4CC72E850F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7579-4768-BE10-1C4CC72E850F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579-4768-BE10-1C4CC72E850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7579-4768-BE10-1C4CC72E850F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579-4768-BE10-1C4CC72E850F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579-4768-BE10-1C4CC72E850F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579-4768-BE10-1C4CC72E850F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7579-4768-BE10-1C4CC72E850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7579-4768-BE10-1C4CC72E850F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7579-4768-BE10-1C4CC72E850F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579-4768-BE10-1C4CC72E850F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7579-4768-BE10-1C4CC72E850F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7579-4768-BE10-1C4CC72E850F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7579-4768-BE10-1C4CC72E850F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7579-4768-BE10-1C4CC72E850F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7579-4768-BE10-1C4CC72E850F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7579-4768-BE10-1C4CC72E850F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7579-4768-BE10-1C4CC72E850F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7579-4768-BE10-1C4CC72E850F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7579-4768-BE10-1C4CC72E850F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7579-4768-BE10-1C4CC72E850F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7579-4768-BE10-1C4CC72E850F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7579-4768-BE10-1C4CC72E850F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7579-4768-BE10-1C4CC72E850F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7579-4768-BE10-1C4CC72E850F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7579-4768-BE10-1C4CC72E850F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7579-4768-BE10-1C4CC72E850F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7579-4768-BE10-1C4CC72E850F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7579-4768-BE10-1C4CC72E850F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7579-4768-BE10-1C4CC72E850F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7579-4768-BE10-1C4CC72E850F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7579-4768-BE10-1C4CC72E850F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7579-4768-BE10-1C4CC72E850F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7579-4768-BE10-1C4CC72E850F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7579-4768-BE10-1C4CC72E850F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7579-4768-BE10-1C4CC72E850F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7579-4768-BE10-1C4CC72E850F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7579-4768-BE10-1C4CC72E850F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7579-4768-BE10-1C4CC72E850F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7579-4768-BE10-1C4CC72E850F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7579-4768-BE10-1C4CC72E850F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7579-4768-BE10-1C4CC72E850F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7579-4768-BE10-1C4CC72E850F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7579-4768-BE10-1C4CC72E850F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7579-4768-BE10-1C4CC72E850F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7579-4768-BE10-1C4CC72E850F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7579-4768-BE10-1C4CC72E850F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7579-4768-BE10-1C4CC72E850F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7579-4768-BE10-1C4CC72E850F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7579-4768-BE10-1C4CC72E850F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7579-4768-BE10-1C4CC72E850F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7579-4768-BE10-1C4CC72E850F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7579-4768-BE10-1C4CC72E850F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7579-4768-BE10-1C4CC72E850F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7579-4768-BE10-1C4CC72E850F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7579-4768-BE10-1C4CC72E850F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7579-4768-BE10-1C4CC72E850F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7579-4768-BE10-1C4CC72E850F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7579-4768-BE10-1C4CC72E850F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7579-4768-BE10-1C4CC72E850F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7579-4768-BE10-1C4CC72E850F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7579-4768-BE10-1C4CC72E850F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7579-4768-BE10-1C4CC72E850F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7579-4768-BE10-1C4CC72E850F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7579-4768-BE10-1C4CC72E850F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7579-4768-BE10-1C4CC72E850F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7579-4768-BE10-1C4CC72E850F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7579-4768-BE10-1C4CC72E850F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7579-4768-BE10-1C4CC72E850F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7579-4768-BE10-1C4CC72E850F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7579-4768-BE10-1C4CC72E850F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7579-4768-BE10-1C4CC72E850F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7579-4768-BE10-1C4CC72E850F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7579-4768-BE10-1C4CC72E850F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7579-4768-BE10-1C4CC72E850F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7579-4768-BE10-1C4CC72E850F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7579-4768-BE10-1C4CC72E85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peninsula x munici'!$B$3</c:f>
          <c:strCache>
            <c:ptCount val="1"/>
            <c:pt idx="0">
              <c:v>Viajeros peninsulares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peninsula x munici'!$G$5</c:f>
              <c:strCache>
                <c:ptCount val="1"/>
                <c:pt idx="0">
                  <c:v>acumulado julio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peninsula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peninsula x munici'!$G$7:$G$16</c:f>
              <c:numCache>
                <c:formatCode>#,##0</c:formatCode>
                <c:ptCount val="10"/>
                <c:pt idx="0">
                  <c:v>54537</c:v>
                </c:pt>
                <c:pt idx="1">
                  <c:v>34124</c:v>
                </c:pt>
                <c:pt idx="2">
                  <c:v>2752</c:v>
                </c:pt>
                <c:pt idx="3">
                  <c:v>158367</c:v>
                </c:pt>
                <c:pt idx="4">
                  <c:v>19490</c:v>
                </c:pt>
                <c:pt idx="5">
                  <c:v>48274</c:v>
                </c:pt>
                <c:pt idx="6">
                  <c:v>14063</c:v>
                </c:pt>
                <c:pt idx="7">
                  <c:v>5147</c:v>
                </c:pt>
                <c:pt idx="8">
                  <c:v>13110</c:v>
                </c:pt>
                <c:pt idx="9">
                  <c:v>10515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87-4A0C-821F-5A0E2F5E7D78}"/>
            </c:ext>
          </c:extLst>
        </c:ser>
        <c:ser>
          <c:idx val="1"/>
          <c:order val="1"/>
          <c:tx>
            <c:strRef>
              <c:f>'distribución peninsula x munici'!$K$5</c:f>
              <c:strCache>
                <c:ptCount val="1"/>
                <c:pt idx="0">
                  <c:v>acumulado julio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munici'!$K$7:$K$16</c:f>
              <c:numCache>
                <c:formatCode>#,##0</c:formatCode>
                <c:ptCount val="10"/>
                <c:pt idx="0">
                  <c:v>44476</c:v>
                </c:pt>
                <c:pt idx="1">
                  <c:v>36881</c:v>
                </c:pt>
                <c:pt idx="2">
                  <c:v>1948</c:v>
                </c:pt>
                <c:pt idx="3">
                  <c:v>176232</c:v>
                </c:pt>
                <c:pt idx="4">
                  <c:v>20421</c:v>
                </c:pt>
                <c:pt idx="5">
                  <c:v>50408</c:v>
                </c:pt>
                <c:pt idx="6">
                  <c:v>12878</c:v>
                </c:pt>
                <c:pt idx="7">
                  <c:v>6428</c:v>
                </c:pt>
                <c:pt idx="8">
                  <c:v>15532</c:v>
                </c:pt>
                <c:pt idx="9">
                  <c:v>11165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87-4A0C-821F-5A0E2F5E7D78}"/>
            </c:ext>
          </c:extLst>
        </c:ser>
        <c:ser>
          <c:idx val="2"/>
          <c:order val="2"/>
          <c:tx>
            <c:strRef>
              <c:f>'distribución peninsula x munici'!$O$5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peninsula x munici'!$O$7:$O$16</c:f>
              <c:numCache>
                <c:formatCode>#,##0</c:formatCode>
                <c:ptCount val="10"/>
                <c:pt idx="0">
                  <c:v>46059</c:v>
                </c:pt>
                <c:pt idx="1">
                  <c:v>39579</c:v>
                </c:pt>
                <c:pt idx="2">
                  <c:v>5034</c:v>
                </c:pt>
                <c:pt idx="3">
                  <c:v>162665</c:v>
                </c:pt>
                <c:pt idx="4">
                  <c:v>10765</c:v>
                </c:pt>
                <c:pt idx="5">
                  <c:v>50727</c:v>
                </c:pt>
                <c:pt idx="6">
                  <c:v>11476</c:v>
                </c:pt>
                <c:pt idx="7">
                  <c:v>8514</c:v>
                </c:pt>
                <c:pt idx="8">
                  <c:v>13478</c:v>
                </c:pt>
                <c:pt idx="9">
                  <c:v>12518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87-4A0C-821F-5A0E2F5E7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peninsula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munici'!$P$7:$P$16</c:f>
              <c:numCache>
                <c:formatCode>0.0%</c:formatCode>
                <c:ptCount val="10"/>
                <c:pt idx="0">
                  <c:v>3.5592229517042995E-2</c:v>
                </c:pt>
                <c:pt idx="1">
                  <c:v>7.315419863886552E-2</c:v>
                </c:pt>
                <c:pt idx="2">
                  <c:v>1.5841889117043122</c:v>
                </c:pt>
                <c:pt idx="3">
                  <c:v>-7.698374869490221E-2</c:v>
                </c:pt>
                <c:pt idx="4">
                  <c:v>-0.47284657950149356</c:v>
                </c:pt>
                <c:pt idx="5">
                  <c:v>6.328360577686043E-3</c:v>
                </c:pt>
                <c:pt idx="6">
                  <c:v>-0.10886783662059329</c:v>
                </c:pt>
                <c:pt idx="7">
                  <c:v>0.32451773490976965</c:v>
                </c:pt>
                <c:pt idx="8">
                  <c:v>-0.13224311099665209</c:v>
                </c:pt>
                <c:pt idx="9">
                  <c:v>0.12118226600985227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87-4A0C-821F-5A0E2F5E7D78}"/>
            </c:ext>
          </c:extLst>
        </c:ser>
        <c:ser>
          <c:idx val="6"/>
          <c:order val="4"/>
          <c:tx>
            <c:strRef>
              <c:f>'distribución peninsula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peninsula x munici'!$T$7:$T$16</c:f>
              <c:numCache>
                <c:formatCode>0.0%</c:formatCode>
                <c:ptCount val="10"/>
                <c:pt idx="0">
                  <c:v>0.1276526751936588</c:v>
                </c:pt>
                <c:pt idx="1">
                  <c:v>0.10969333314856644</c:v>
                </c:pt>
                <c:pt idx="2">
                  <c:v>1.3951748125770824E-2</c:v>
                </c:pt>
                <c:pt idx="3">
                  <c:v>0.4508266008896526</c:v>
                </c:pt>
                <c:pt idx="4">
                  <c:v>2.9835234122749885E-2</c:v>
                </c:pt>
                <c:pt idx="5">
                  <c:v>0.14059005307429015</c:v>
                </c:pt>
                <c:pt idx="6">
                  <c:v>3.180577304158641E-2</c:v>
                </c:pt>
                <c:pt idx="7">
                  <c:v>2.3596579964801908E-2</c:v>
                </c:pt>
                <c:pt idx="8">
                  <c:v>3.7354322852431301E-2</c:v>
                </c:pt>
                <c:pt idx="9">
                  <c:v>3.4693679586491694E-2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687-4A0C-821F-5A0E2F5E7D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munici'!$O$5</c:f>
          <c:strCache>
            <c:ptCount val="1"/>
            <c:pt idx="0">
              <c:v>acumulado julio 2026</c:v>
            </c:pt>
          </c:strCache>
        </c:strRef>
      </c:tx>
      <c:layout>
        <c:manualLayout>
          <c:xMode val="edge"/>
          <c:yMode val="edge"/>
          <c:x val="0.86451594650205765"/>
          <c:y val="8.99909989637462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accent6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33757176234101782"/>
          <c:y val="0.190608507035707"/>
          <c:w val="0.37144032921810699"/>
          <c:h val="0.65540856384306434"/>
        </c:manualLayout>
      </c:layout>
      <c:pieChart>
        <c:varyColors val="1"/>
        <c:ser>
          <c:idx val="0"/>
          <c:order val="0"/>
          <c:tx>
            <c:strRef>
              <c:f>'distribución canarias x munici'!$O$5</c:f>
              <c:strCache>
                <c:ptCount val="1"/>
                <c:pt idx="0">
                  <c:v>acumulado julio 2026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4517-423B-9F1C-B0DAFCA250F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517-423B-9F1C-B0DAFCA250F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517-423B-9F1C-B0DAFCA250F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4517-423B-9F1C-B0DAFCA250F9}"/>
              </c:ext>
            </c:extLst>
          </c:dPt>
          <c:dPt>
            <c:idx val="4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>
                <a:noFill/>
              </a:ln>
              <a:effectLst/>
              <a:sp3d contourW="25400"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9-4517-423B-9F1C-B0DAFCA250F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4517-423B-9F1C-B0DAFCA250F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4517-423B-9F1C-B0DAFCA250F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F-4517-423B-9F1C-B0DAFCA250F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1-4517-423B-9F1C-B0DAFCA250F9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3-4517-423B-9F1C-B0DAFCA250F9}"/>
              </c:ext>
            </c:extLst>
          </c:dPt>
          <c:dLbls>
            <c:dLbl>
              <c:idx val="0"/>
              <c:layout>
                <c:manualLayout>
                  <c:x val="-7.5339122360884497E-2"/>
                  <c:y val="4.597141450080511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517-423B-9F1C-B0DAFCA250F9}"/>
                </c:ext>
              </c:extLst>
            </c:dLbl>
            <c:dLbl>
              <c:idx val="1"/>
              <c:layout>
                <c:manualLayout>
                  <c:x val="-9.3387190520987984E-2"/>
                  <c:y val="4.819605911875211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517-423B-9F1C-B0DAFCA250F9}"/>
                </c:ext>
              </c:extLst>
            </c:dLbl>
            <c:dLbl>
              <c:idx val="2"/>
              <c:layout>
                <c:manualLayout>
                  <c:x val="-0.11098057931923191"/>
                  <c:y val="1.1776163257175424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517-423B-9F1C-B0DAFCA250F9}"/>
                </c:ext>
              </c:extLst>
            </c:dLbl>
            <c:dLbl>
              <c:idx val="3"/>
              <c:layout>
                <c:manualLayout>
                  <c:x val="-0.13331713361065792"/>
                  <c:y val="1.200347496970465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517-423B-9F1C-B0DAFCA250F9}"/>
                </c:ext>
              </c:extLst>
            </c:dLbl>
            <c:dLbl>
              <c:idx val="4"/>
              <c:layout>
                <c:manualLayout>
                  <c:x val="1.1125366254599619E-2"/>
                  <c:y val="-4.8381538393435182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517-423B-9F1C-B0DAFCA250F9}"/>
                </c:ext>
              </c:extLst>
            </c:dLbl>
            <c:dLbl>
              <c:idx val="5"/>
              <c:layout>
                <c:manualLayout>
                  <c:x val="4.6608807014449298E-2"/>
                  <c:y val="-6.153308137958511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517-423B-9F1C-B0DAFCA250F9}"/>
                </c:ext>
              </c:extLst>
            </c:dLbl>
            <c:dLbl>
              <c:idx val="6"/>
              <c:layout>
                <c:manualLayout>
                  <c:x val="9.1737743332696367E-2"/>
                  <c:y val="-0.1007623906463554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517-423B-9F1C-B0DAFCA250F9}"/>
                </c:ext>
              </c:extLst>
            </c:dLbl>
            <c:dLbl>
              <c:idx val="7"/>
              <c:layout>
                <c:manualLayout>
                  <c:x val="0.12098099885836359"/>
                  <c:y val="-1.9219902501646183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517-423B-9F1C-B0DAFCA250F9}"/>
                </c:ext>
              </c:extLst>
            </c:dLbl>
            <c:dLbl>
              <c:idx val="8"/>
              <c:layout>
                <c:manualLayout>
                  <c:x val="0.16659745802158807"/>
                  <c:y val="3.23181035961509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517-423B-9F1C-B0DAFCA250F9}"/>
                </c:ext>
              </c:extLst>
            </c:dLbl>
            <c:dLbl>
              <c:idx val="9"/>
              <c:layout>
                <c:manualLayout>
                  <c:x val="-5.8337222491707218E-2"/>
                  <c:y val="1.835979216582467E-2"/>
                </c:manualLayout>
              </c:layout>
              <c:numFmt formatCode="0.0%" sourceLinked="0"/>
              <c:spPr>
                <a:noFill/>
                <a:ln w="3175">
                  <a:solidFill>
                    <a:schemeClr val="accent1"/>
                  </a:solidFill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0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9008261552331535"/>
                      <c:h val="0.16514406184118061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3-4517-423B-9F1C-B0DAFCA250F9}"/>
                </c:ext>
              </c:extLst>
            </c:dLbl>
            <c:numFmt formatCode="0.0%" sourceLinked="0"/>
            <c:spPr>
              <a:noFill/>
              <a:ln w="3175">
                <a:solidFill>
                  <a:schemeClr val="accent1"/>
                </a:solidFill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39706</c:v>
                </c:pt>
                <c:pt idx="1">
                  <c:v>38161</c:v>
                </c:pt>
                <c:pt idx="2">
                  <c:v>4983</c:v>
                </c:pt>
                <c:pt idx="3">
                  <c:v>74445</c:v>
                </c:pt>
                <c:pt idx="4">
                  <c:v>14660</c:v>
                </c:pt>
                <c:pt idx="5">
                  <c:v>55216</c:v>
                </c:pt>
                <c:pt idx="6">
                  <c:v>8055</c:v>
                </c:pt>
                <c:pt idx="7">
                  <c:v>14672</c:v>
                </c:pt>
                <c:pt idx="8">
                  <c:v>13286</c:v>
                </c:pt>
                <c:pt idx="9">
                  <c:v>9402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4517-423B-9F1C-B0DAFCA25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162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 algn="l">
              <a:defRPr sz="18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r>
              <a:rPr lang="es-ES"/>
              <a:t>Evolución de los turistas españoles según lugar de residencia</a:t>
            </a:r>
          </a:p>
        </c:rich>
      </c:tx>
      <c:layout>
        <c:manualLayout>
          <c:xMode val="edge"/>
          <c:yMode val="edge"/>
          <c:x val="7.1780789620584087E-3"/>
          <c:y val="2.6041666666666665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2059838895281933E-3"/>
          <c:y val="0.17594611220472442"/>
          <c:w val="0.99024733530863318"/>
          <c:h val="0.7776484580052494"/>
        </c:manualLayout>
      </c:layout>
      <c:lineChart>
        <c:grouping val="standard"/>
        <c:varyColors val="0"/>
        <c:ser>
          <c:idx val="4"/>
          <c:order val="0"/>
          <c:tx>
            <c:v>España</c:v>
          </c:tx>
          <c:spPr>
            <a:ln w="19050">
              <a:solidFill>
                <a:schemeClr val="accent6">
                  <a:lumMod val="50000"/>
                </a:schemeClr>
              </a:solidFill>
            </a:ln>
          </c:spPr>
          <c:marker>
            <c:symbol val="star"/>
            <c:size val="7"/>
            <c:spPr>
              <a:solidFill>
                <a:schemeClr val="accent6">
                  <a:lumMod val="50000"/>
                </a:schemeClr>
              </a:solidFill>
              <a:ln>
                <a:noFill/>
              </a:ln>
            </c:spPr>
          </c:marker>
          <c:dLbls>
            <c:dLbl>
              <c:idx val="3"/>
              <c:layout>
                <c:manualLayout>
                  <c:x val="-5.3678618135909101E-2"/>
                  <c:y val="-4.772125164041997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4AC-4411-A95B-9E9D63EE3683}"/>
                </c:ext>
              </c:extLst>
            </c:dLbl>
            <c:dLbl>
              <c:idx val="4"/>
              <c:layout>
                <c:manualLayout>
                  <c:x val="-5.214428748765438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4AC-4411-A95B-9E9D63EE3683}"/>
                </c:ext>
              </c:extLst>
            </c:dLbl>
            <c:dLbl>
              <c:idx val="5"/>
              <c:layout>
                <c:manualLayout>
                  <c:x val="-4.6006964894635578E-2"/>
                  <c:y val="-4.25129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34AC-4411-A95B-9E9D63EE3683}"/>
                </c:ext>
              </c:extLst>
            </c:dLbl>
            <c:dLbl>
              <c:idx val="6"/>
              <c:layout>
                <c:manualLayout>
                  <c:x val="-4.2938303598126185E-2"/>
                  <c:y val="-3.99087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4AC-4411-A95B-9E9D63EE3683}"/>
                </c:ext>
              </c:extLst>
            </c:dLbl>
            <c:dLbl>
              <c:idx val="7"/>
              <c:layout>
                <c:manualLayout>
                  <c:x val="-3.373231970859799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34AC-4411-A95B-9E9D63EE3683}"/>
                </c:ext>
              </c:extLst>
            </c:dLbl>
            <c:dLbl>
              <c:idx val="8"/>
              <c:layout>
                <c:manualLayout>
                  <c:x val="-5.0609956839399679E-2"/>
                  <c:y val="-4.7721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4AC-4411-A95B-9E9D63EE3683}"/>
                </c:ext>
              </c:extLst>
            </c:dLbl>
            <c:dLbl>
              <c:idx val="9"/>
              <c:layout>
                <c:manualLayout>
                  <c:x val="-5.8281610080673174E-2"/>
                  <c:y val="-3.20962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34AC-4411-A95B-9E9D63EE3683}"/>
                </c:ext>
              </c:extLst>
            </c:dLbl>
            <c:dLbl>
              <c:idx val="10"/>
              <c:layout>
                <c:manualLayout>
                  <c:x val="-5.0609956839399679E-2"/>
                  <c:y val="-3.209625164041994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4AC-4411-A95B-9E9D63EE3683}"/>
                </c:ext>
              </c:extLst>
            </c:dLbl>
            <c:dLbl>
              <c:idx val="11"/>
              <c:layout>
                <c:manualLayout>
                  <c:x val="-4.3046860715444391E-2"/>
                  <c:y val="-3.4700418307086617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34AC-4411-A95B-9E9D63EE3683}"/>
                </c:ext>
              </c:extLst>
            </c:dLbl>
            <c:dLbl>
              <c:idx val="12"/>
              <c:layout>
                <c:manualLayout>
                  <c:x val="-4.756425009589578E-2"/>
                  <c:y val="-5.553375164041999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4AC-4411-A95B-9E9D63EE36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50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1245831</c:v>
              </c:pt>
              <c:pt idx="1">
                <c:v>1371788</c:v>
              </c:pt>
              <c:pt idx="2">
                <c:v>1459717</c:v>
              </c:pt>
              <c:pt idx="3">
                <c:v>1563829</c:v>
              </c:pt>
              <c:pt idx="4">
                <c:v>1552207</c:v>
              </c:pt>
              <c:pt idx="5">
                <c:v>1560633</c:v>
              </c:pt>
              <c:pt idx="6">
                <c:v>1450144</c:v>
              </c:pt>
              <c:pt idx="7">
                <c:v>1466184</c:v>
              </c:pt>
              <c:pt idx="8">
                <c:v>1302302</c:v>
              </c:pt>
              <c:pt idx="9">
                <c:v>1185008</c:v>
              </c:pt>
              <c:pt idx="10">
                <c:v>1161922</c:v>
              </c:pt>
              <c:pt idx="11">
                <c:v>1154877</c:v>
              </c:pt>
              <c:pt idx="12">
                <c:v>1197223</c:v>
              </c:pt>
              <c:pt idx="13">
                <c:v>1169226</c:v>
              </c:pt>
              <c:pt idx="14">
                <c:v>1213803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A-34AC-4411-A95B-9E9D63EE3683}"/>
            </c:ext>
          </c:extLst>
        </c:ser>
        <c:ser>
          <c:idx val="2"/>
          <c:order val="1"/>
          <c:tx>
            <c:v>Península</c:v>
          </c:tx>
          <c:spPr>
            <a:ln>
              <a:solidFill>
                <a:schemeClr val="accent6">
                  <a:lumMod val="75000"/>
                </a:schemeClr>
              </a:solidFill>
            </a:ln>
          </c:spPr>
          <c:marker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accent6">
                    <a:lumMod val="75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4.6955085670470992E-2"/>
                  <c:y val="-3.73045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34AC-4411-A95B-9E9D63EE3683}"/>
                </c:ext>
              </c:extLst>
            </c:dLbl>
            <c:dLbl>
              <c:idx val="3"/>
              <c:layout>
                <c:manualLayout>
                  <c:x val="-5.2412044000117966E-2"/>
                  <c:y val="-4.51170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4AC-4411-A95B-9E9D63EE3683}"/>
                </c:ext>
              </c:extLst>
            </c:dLbl>
            <c:dLbl>
              <c:idx val="4"/>
              <c:layout>
                <c:manualLayout>
                  <c:x val="-4.7917661977646055E-2"/>
                  <c:y val="-2.94920849737532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4AC-4411-A95B-9E9D63EE3683}"/>
                </c:ext>
              </c:extLst>
            </c:dLbl>
            <c:dLbl>
              <c:idx val="5"/>
              <c:layout>
                <c:manualLayout>
                  <c:x val="-4.4921407295998167E-2"/>
                  <c:y val="-5.29295849737532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34AC-4411-A95B-9E9D63EE368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>
                        <a:lumMod val="7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835494.10694093152</c:v>
              </c:pt>
              <c:pt idx="1">
                <c:v>934060.2740821382</c:v>
              </c:pt>
              <c:pt idx="2">
                <c:v>991891.91957325314</c:v>
              </c:pt>
              <c:pt idx="3">
                <c:v>1012310.1198606625</c:v>
              </c:pt>
              <c:pt idx="4">
                <c:v>1010234.1976024332</c:v>
              </c:pt>
              <c:pt idx="5">
                <c:v>1045110.5088730652</c:v>
              </c:pt>
              <c:pt idx="6">
                <c:v>933931.5945879299</c:v>
              </c:pt>
              <c:pt idx="7">
                <c:v>899119.37267652876</c:v>
              </c:pt>
              <c:pt idx="8">
                <c:v>832056.62769670982</c:v>
              </c:pt>
              <c:pt idx="9">
                <c:v>764825.44958218595</c:v>
              </c:pt>
              <c:pt idx="10">
                <c:v>700427.58718537493</c:v>
              </c:pt>
              <c:pt idx="11">
                <c:v>643039.60500446218</c:v>
              </c:pt>
              <c:pt idx="12">
                <c:v>647312.71648904984</c:v>
              </c:pt>
              <c:pt idx="13">
                <c:v>701207.72652040434</c:v>
              </c:pt>
              <c:pt idx="14">
                <c:v>743043.23333572771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F-34AC-4411-A95B-9E9D63EE3683}"/>
            </c:ext>
          </c:extLst>
        </c:ser>
        <c:ser>
          <c:idx val="1"/>
          <c:order val="2"/>
          <c:tx>
            <c:v>Canarias</c:v>
          </c:tx>
          <c:spPr>
            <a:ln w="19050">
              <a:solidFill>
                <a:schemeClr val="accent6"/>
              </a:solidFill>
            </a:ln>
          </c:spPr>
          <c:marker>
            <c:symbol val="circle"/>
            <c:size val="5"/>
            <c:spPr>
              <a:solidFill>
                <a:schemeClr val="accent6"/>
              </a:solidFill>
              <a:ln>
                <a:noFill/>
              </a:ln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1">
                    <a:solidFill>
                      <a:schemeClr val="accent6"/>
                    </a:solidFill>
                  </a:defRPr>
                </a:pPr>
                <a:endParaRPr lang="es-E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410336.89305934194</c:v>
              </c:pt>
              <c:pt idx="1">
                <c:v>437727.72591771383</c:v>
              </c:pt>
              <c:pt idx="2">
                <c:v>467825.08042674686</c:v>
              </c:pt>
              <c:pt idx="3">
                <c:v>551518.88013933762</c:v>
              </c:pt>
              <c:pt idx="4">
                <c:v>541972.80239797349</c:v>
              </c:pt>
              <c:pt idx="5">
                <c:v>515522.49112716987</c:v>
              </c:pt>
              <c:pt idx="6">
                <c:v>516212.40541213681</c:v>
              </c:pt>
              <c:pt idx="7">
                <c:v>567064.62732366158</c:v>
              </c:pt>
              <c:pt idx="8">
                <c:v>470245.3723033563</c:v>
              </c:pt>
              <c:pt idx="9">
                <c:v>420182.55041824712</c:v>
              </c:pt>
              <c:pt idx="10">
                <c:v>461494.41281506338</c:v>
              </c:pt>
              <c:pt idx="11">
                <c:v>511837.39499551943</c:v>
              </c:pt>
              <c:pt idx="12">
                <c:v>549910.28351071582</c:v>
              </c:pt>
              <c:pt idx="13">
                <c:v>468018.27348018327</c:v>
              </c:pt>
              <c:pt idx="14">
                <c:v>470759.76666423009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10-34AC-4411-A95B-9E9D63EE3683}"/>
            </c:ext>
          </c:extLst>
        </c:ser>
        <c:ser>
          <c:idx val="5"/>
          <c:order val="3"/>
          <c:tx>
            <c:v>Var España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34AC-4411-A95B-9E9D63EE3683}"/>
                </c:ext>
              </c:extLst>
            </c:dLbl>
            <c:dLbl>
              <c:idx val="1"/>
              <c:layout>
                <c:manualLayout>
                  <c:x val="-4.0420189133435432E-2"/>
                  <c:y val="-0.6328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34AC-4411-A95B-9E9D63EE3683}"/>
                </c:ext>
              </c:extLst>
            </c:dLbl>
            <c:dLbl>
              <c:idx val="2"/>
              <c:layout>
                <c:manualLayout>
                  <c:x val="-4.0477937956259494E-2"/>
                  <c:y val="-0.6640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34AC-4411-A95B-9E9D63EE3683}"/>
                </c:ext>
              </c:extLst>
            </c:dLbl>
            <c:dLbl>
              <c:idx val="3"/>
              <c:layout>
                <c:manualLayout>
                  <c:x val="-3.138322324208901E-2"/>
                  <c:y val="-0.70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34AC-4411-A95B-9E9D63EE3683}"/>
                </c:ext>
              </c:extLst>
            </c:dLbl>
            <c:dLbl>
              <c:idx val="4"/>
              <c:layout>
                <c:manualLayout>
                  <c:x val="-3.2619869581894896E-2"/>
                  <c:y val="-0.677083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34AC-4411-A95B-9E9D63EE3683}"/>
                </c:ext>
              </c:extLst>
            </c:dLbl>
            <c:dLbl>
              <c:idx val="5"/>
              <c:layout>
                <c:manualLayout>
                  <c:x val="-2.8760605154505285E-2"/>
                  <c:y val="-0.69531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34AC-4411-A95B-9E9D63EE3683}"/>
                </c:ext>
              </c:extLst>
            </c:dLbl>
            <c:dLbl>
              <c:idx val="6"/>
              <c:layout>
                <c:manualLayout>
                  <c:x val="-2.5009106312804109E-2"/>
                  <c:y val="-0.6562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34AC-4411-A95B-9E9D63EE3683}"/>
                </c:ext>
              </c:extLst>
            </c:dLbl>
            <c:dLbl>
              <c:idx val="7"/>
              <c:layout>
                <c:manualLayout>
                  <c:x val="-1.4231649547098631E-2"/>
                  <c:y val="-0.65701034103410338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34AC-4411-A95B-9E9D63EE3683}"/>
                </c:ext>
              </c:extLst>
            </c:dLbl>
            <c:dLbl>
              <c:idx val="8"/>
              <c:layout>
                <c:manualLayout>
                  <c:x val="-2.3449404842806616E-2"/>
                  <c:y val="-0.5963541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34AC-4411-A95B-9E9D63EE3683}"/>
                </c:ext>
              </c:extLst>
            </c:dLbl>
            <c:dLbl>
              <c:idx val="9"/>
              <c:layout>
                <c:manualLayout>
                  <c:x val="-3.2862189979061603E-2"/>
                  <c:y val="-0.5364583333333333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34AC-4411-A95B-9E9D63EE3683}"/>
                </c:ext>
              </c:extLst>
            </c:dLbl>
            <c:dLbl>
              <c:idx val="10"/>
              <c:layout>
                <c:manualLayout>
                  <c:x val="-3.2026324830884211E-2"/>
                  <c:y val="-0.534424422442244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34AC-4411-A95B-9E9D63EE3683}"/>
                </c:ext>
              </c:extLst>
            </c:dLbl>
            <c:dLbl>
              <c:idx val="11"/>
              <c:layout>
                <c:manualLayout>
                  <c:x val="-3.0786398891149841E-2"/>
                  <c:y val="-0.526041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34AC-4411-A95B-9E9D63EE3683}"/>
                </c:ext>
              </c:extLst>
            </c:dLbl>
            <c:dLbl>
              <c:idx val="12"/>
              <c:layout>
                <c:manualLayout>
                  <c:x val="-3.0983209952610929E-2"/>
                  <c:y val="-0.5729166666666666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34AC-4411-A95B-9E9D63EE3683}"/>
                </c:ext>
              </c:extLst>
            </c:dLbl>
            <c:dLbl>
              <c:idx val="13"/>
              <c:layout>
                <c:manualLayout>
                  <c:x val="-2.711293953866269E-2"/>
                  <c:y val="-0.5422369636963696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34AC-4411-A95B-9E9D63EE3683}"/>
                </c:ext>
              </c:extLst>
            </c:dLbl>
            <c:dLbl>
              <c:idx val="14"/>
              <c:layout>
                <c:manualLayout>
                  <c:x val="-3.5102385584443931E-2"/>
                  <c:y val="-0.5672387238723872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34AC-4411-A95B-9E9D63EE3683}"/>
                </c:ext>
              </c:extLst>
            </c:dLbl>
            <c:dLbl>
              <c:idx val="15"/>
              <c:layout>
                <c:manualLayout>
                  <c:x val="-1.3695726958429133E-2"/>
                  <c:y val="-0.60915291529152915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34AC-4411-A95B-9E9D63EE3683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s-ES"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0.10390423970908258</c:v>
              </c:pt>
              <c:pt idx="1">
                <c:v>0.10110279805206335</c:v>
              </c:pt>
              <c:pt idx="2">
                <c:v>6.4098096790466075E-2</c:v>
              </c:pt>
              <c:pt idx="3">
                <c:v>7.1323414059026424E-2</c:v>
              </c:pt>
              <c:pt idx="4">
                <c:v>-7.431758843198355E-3</c:v>
              </c:pt>
              <c:pt idx="5">
                <c:v>5.4283996915360788E-3</c:v>
              </c:pt>
              <c:pt idx="6">
                <c:v>-7.0797554582018973E-2</c:v>
              </c:pt>
              <c:pt idx="7">
                <c:v>1.1060970496723055E-2</c:v>
              </c:pt>
              <c:pt idx="8">
                <c:v>-0.11177451124824711</c:v>
              </c:pt>
              <c:pt idx="9">
                <c:v>-9.0066666564283859E-2</c:v>
              </c:pt>
              <c:pt idx="10">
                <c:v>-1.9481725017890139E-2</c:v>
              </c:pt>
              <c:pt idx="11">
                <c:v>-6.0632297176574923E-3</c:v>
              </c:pt>
              <c:pt idx="12">
                <c:v>3.6667108272136373E-2</c:v>
              </c:pt>
              <c:pt idx="13">
                <c:v>-2.3384950005136851E-2</c:v>
              </c:pt>
              <c:pt idx="14">
                <c:v>3.812522130024476E-2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21-34AC-4411-A95B-9E9D63EE3683}"/>
            </c:ext>
          </c:extLst>
        </c:ser>
        <c:ser>
          <c:idx val="0"/>
          <c:order val="4"/>
          <c:tx>
            <c:v>Var interanual</c:v>
          </c:tx>
          <c:spPr>
            <a:ln>
              <a:noFill/>
            </a:ln>
          </c:spPr>
          <c:marker>
            <c:symbol val="square"/>
            <c:size val="7"/>
            <c:spPr>
              <a:solidFill>
                <a:schemeClr val="bg1">
                  <a:lumMod val="65000"/>
                </a:schemeClr>
              </a:solidFill>
              <a:ln>
                <a:noFill/>
              </a:ln>
            </c:spPr>
          </c:marker>
          <c:dPt>
            <c:idx val="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2-34AC-4411-A95B-9E9D63EE3683}"/>
              </c:ext>
            </c:extLst>
          </c:dPt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3-34AC-4411-A95B-9E9D63EE3683}"/>
              </c:ext>
            </c:extLst>
          </c:dPt>
          <c:dPt>
            <c:idx val="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4-34AC-4411-A95B-9E9D63EE3683}"/>
              </c:ext>
            </c:extLst>
          </c:dPt>
          <c:dPt>
            <c:idx val="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5-34AC-4411-A95B-9E9D63EE3683}"/>
              </c:ext>
            </c:extLst>
          </c:dPt>
          <c:dPt>
            <c:idx val="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6-34AC-4411-A95B-9E9D63EE3683}"/>
              </c:ext>
            </c:extLst>
          </c:dPt>
          <c:dPt>
            <c:idx val="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7-34AC-4411-A95B-9E9D63EE3683}"/>
              </c:ext>
            </c:extLst>
          </c:dPt>
          <c:dPt>
            <c:idx val="6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8-34AC-4411-A95B-9E9D63EE3683}"/>
              </c:ext>
            </c:extLst>
          </c:dPt>
          <c:dPt>
            <c:idx val="7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9-34AC-4411-A95B-9E9D63EE3683}"/>
              </c:ext>
            </c:extLst>
          </c:dPt>
          <c:dPt>
            <c:idx val="8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A-34AC-4411-A95B-9E9D63EE3683}"/>
              </c:ext>
            </c:extLst>
          </c:dPt>
          <c:dPt>
            <c:idx val="9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B-34AC-4411-A95B-9E9D63EE3683}"/>
              </c:ext>
            </c:extLst>
          </c:dPt>
          <c:dPt>
            <c:idx val="10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C-34AC-4411-A95B-9E9D63EE3683}"/>
              </c:ext>
            </c:extLst>
          </c:dPt>
          <c:dPt>
            <c:idx val="1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D-34AC-4411-A95B-9E9D63EE3683}"/>
              </c:ext>
            </c:extLst>
          </c:dPt>
          <c:dPt>
            <c:idx val="12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E-34AC-4411-A95B-9E9D63EE3683}"/>
              </c:ext>
            </c:extLst>
          </c:dPt>
          <c:dPt>
            <c:idx val="13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2F-34AC-4411-A95B-9E9D63EE3683}"/>
              </c:ext>
            </c:extLst>
          </c:dPt>
          <c:dPt>
            <c:idx val="14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0-34AC-4411-A95B-9E9D63EE3683}"/>
              </c:ext>
            </c:extLst>
          </c:dPt>
          <c:dPt>
            <c:idx val="15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31-34AC-4411-A95B-9E9D63EE3683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34AC-4411-A95B-9E9D63EE3683}"/>
                </c:ext>
              </c:extLst>
            </c:dLbl>
            <c:dLbl>
              <c:idx val="1"/>
              <c:layout>
                <c:manualLayout>
                  <c:x val="-4.0466524418260666E-2"/>
                  <c:y val="-0.458187541010498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34AC-4411-A95B-9E9D63EE3683}"/>
                </c:ext>
              </c:extLst>
            </c:dLbl>
            <c:dLbl>
              <c:idx val="2"/>
              <c:layout>
                <c:manualLayout>
                  <c:x val="-3.6740332659798425E-2"/>
                  <c:y val="-0.4791666666666666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34AC-4411-A95B-9E9D63EE3683}"/>
                </c:ext>
              </c:extLst>
            </c:dLbl>
            <c:dLbl>
              <c:idx val="3"/>
              <c:layout>
                <c:manualLayout>
                  <c:x val="-3.5927379043097146E-2"/>
                  <c:y val="-0.4886292240813648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34AC-4411-A95B-9E9D63EE3683}"/>
                </c:ext>
              </c:extLst>
            </c:dLbl>
            <c:dLbl>
              <c:idx val="4"/>
              <c:layout>
                <c:manualLayout>
                  <c:x val="-3.2294906956855114E-2"/>
                  <c:y val="-0.476635293635170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34AC-4411-A95B-9E9D63EE3683}"/>
                </c:ext>
              </c:extLst>
            </c:dLbl>
            <c:dLbl>
              <c:idx val="5"/>
              <c:layout>
                <c:manualLayout>
                  <c:x val="-2.8299019128933279E-2"/>
                  <c:y val="-0.505787238723872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34AC-4411-A95B-9E9D63EE3683}"/>
                </c:ext>
              </c:extLst>
            </c:dLbl>
            <c:dLbl>
              <c:idx val="6"/>
              <c:layout>
                <c:manualLayout>
                  <c:x val="-3.164502595978725E-2"/>
                  <c:y val="-0.4647674704724409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34AC-4411-A95B-9E9D63EE3683}"/>
                </c:ext>
              </c:extLst>
            </c:dLbl>
            <c:dLbl>
              <c:idx val="7"/>
              <c:layout>
                <c:manualLayout>
                  <c:x val="-3.3146857793523908E-2"/>
                  <c:y val="-0.4475853018372703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34AC-4411-A95B-9E9D63EE3683}"/>
                </c:ext>
              </c:extLst>
            </c:dLbl>
            <c:dLbl>
              <c:idx val="8"/>
              <c:layout>
                <c:manualLayout>
                  <c:x val="-3.5341796314586109E-2"/>
                  <c:y val="-0.424916543635170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34AC-4411-A95B-9E9D63EE3683}"/>
                </c:ext>
              </c:extLst>
            </c:dLbl>
            <c:dLbl>
              <c:idx val="9"/>
              <c:layout>
                <c:manualLayout>
                  <c:x val="-3.1703016409485175E-2"/>
                  <c:y val="-0.4012602526246719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34AC-4411-A95B-9E9D63EE3683}"/>
                </c:ext>
              </c:extLst>
            </c:dLbl>
            <c:dLbl>
              <c:idx val="10"/>
              <c:layout>
                <c:manualLayout>
                  <c:x val="-4.0959137875314605E-2"/>
                  <c:y val="-0.370123031496063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34AC-4411-A95B-9E9D63EE3683}"/>
                </c:ext>
              </c:extLst>
            </c:dLbl>
            <c:dLbl>
              <c:idx val="11"/>
              <c:layout>
                <c:manualLayout>
                  <c:x val="-3.3855066160458365E-2"/>
                  <c:y val="-0.3437500000000001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34AC-4411-A95B-9E9D63EE3683}"/>
                </c:ext>
              </c:extLst>
            </c:dLbl>
            <c:dLbl>
              <c:idx val="12"/>
              <c:layout>
                <c:manualLayout>
                  <c:x val="-2.9361893629809507E-2"/>
                  <c:y val="-0.335243602362204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34AC-4411-A95B-9E9D63EE3683}"/>
                </c:ext>
              </c:extLst>
            </c:dLbl>
            <c:dLbl>
              <c:idx val="13"/>
              <c:layout>
                <c:manualLayout>
                  <c:x val="-2.9434944372192792E-2"/>
                  <c:y val="-0.3571511551155115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F-34AC-4411-A95B-9E9D63EE3683}"/>
                </c:ext>
              </c:extLst>
            </c:dLbl>
            <c:dLbl>
              <c:idx val="14"/>
              <c:layout>
                <c:manualLayout>
                  <c:x val="-1.532079307839569E-2"/>
                  <c:y val="-0.3925938393839383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34AC-4411-A95B-9E9D63EE3683}"/>
                </c:ext>
              </c:extLst>
            </c:dLbl>
            <c:dLbl>
              <c:idx val="15"/>
              <c:layout>
                <c:manualLayout>
                  <c:x val="-8.2901545384897087E-3"/>
                  <c:y val="-0.108976897689769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34AC-4411-A95B-9E9D63EE3683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0">
                <c:v>0</c:v>
              </c:pt>
              <c:pt idx="1">
                <c:v>0.11797350372954241</c:v>
              </c:pt>
              <c:pt idx="2">
                <c:v>6.1914254460659679E-2</c:v>
              </c:pt>
              <c:pt idx="3">
                <c:v>2.0585105982307006E-2</c:v>
              </c:pt>
              <c:pt idx="4">
                <c:v>-2.0506781642319893E-3</c:v>
              </c:pt>
              <c:pt idx="5">
                <c:v>3.4522996106648662E-2</c:v>
              </c:pt>
              <c:pt idx="6">
                <c:v>-0.10638005583258248</c:v>
              </c:pt>
              <c:pt idx="7">
                <c:v>-3.7274916185656037E-2</c:v>
              </c:pt>
              <c:pt idx="8">
                <c:v>-7.458714272853928E-2</c:v>
              </c:pt>
              <c:pt idx="9">
                <c:v>-8.0801204962013817E-2</c:v>
              </c:pt>
              <c:pt idx="10">
                <c:v>-8.4199424106494836E-2</c:v>
              </c:pt>
              <c:pt idx="11">
                <c:v>-8.1932783960612987E-2</c:v>
              </c:pt>
              <c:pt idx="12">
                <c:v>6.6451762089489996E-3</c:v>
              </c:pt>
              <c:pt idx="13">
                <c:v>8.3259618818667613E-2</c:v>
              </c:pt>
              <c:pt idx="14">
                <c:v>5.966207335296092E-2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32-34AC-4411-A95B-9E9D63EE3683}"/>
            </c:ext>
          </c:extLst>
        </c:ser>
        <c:ser>
          <c:idx val="3"/>
          <c:order val="5"/>
          <c:tx>
            <c:v>Var Canarias</c:v>
          </c:tx>
          <c:spPr>
            <a:ln w="19050">
              <a:noFill/>
            </a:ln>
          </c:spPr>
          <c:marker>
            <c:spPr>
              <a:noFill/>
              <a:ln>
                <a:noFill/>
              </a:ln>
            </c:spPr>
          </c:marker>
          <c:dLbls>
            <c:dLbl>
              <c:idx val="0"/>
              <c:layout>
                <c:manualLayout>
                  <c:x val="-9.8582677165354338E-3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34AC-4411-A95B-9E9D63EE3683}"/>
                </c:ext>
              </c:extLst>
            </c:dLbl>
            <c:dLbl>
              <c:idx val="1"/>
              <c:layout>
                <c:manualLayout>
                  <c:x val="-2.7813088112187415E-2"/>
                  <c:y val="-8.36003116797901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34AC-4411-A95B-9E9D63EE3683}"/>
                </c:ext>
              </c:extLst>
            </c:dLbl>
            <c:dLbl>
              <c:idx val="2"/>
              <c:layout>
                <c:manualLayout>
                  <c:x val="-3.6332508796112717E-2"/>
                  <c:y val="-9.662114501312335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34AC-4411-A95B-9E9D63EE3683}"/>
                </c:ext>
              </c:extLst>
            </c:dLbl>
            <c:dLbl>
              <c:idx val="3"/>
              <c:layout>
                <c:manualLayout>
                  <c:x val="-3.7598684779787145E-2"/>
                  <c:y val="-0.1304753116797901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34AC-4411-A95B-9E9D63EE3683}"/>
                </c:ext>
              </c:extLst>
            </c:dLbl>
            <c:dLbl>
              <c:idx val="4"/>
              <c:layout>
                <c:manualLayout>
                  <c:x val="-3.1120994491073285E-2"/>
                  <c:y val="-0.12005864501312336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7-34AC-4411-A95B-9E9D63EE3683}"/>
                </c:ext>
              </c:extLst>
            </c:dLbl>
            <c:dLbl>
              <c:idx val="5"/>
              <c:layout>
                <c:manualLayout>
                  <c:x val="-3.1120994491073285E-2"/>
                  <c:y val="-0.1096419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8-34AC-4411-A95B-9E9D63EE3683}"/>
                </c:ext>
              </c:extLst>
            </c:dLbl>
            <c:dLbl>
              <c:idx val="6"/>
              <c:layout>
                <c:manualLayout>
                  <c:x val="-3.3709847182807798E-2"/>
                  <c:y val="-0.1070378116797900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34AC-4411-A95B-9E9D63EE3683}"/>
                </c:ext>
              </c:extLst>
            </c:dLbl>
            <c:dLbl>
              <c:idx val="7"/>
              <c:layout>
                <c:manualLayout>
                  <c:x val="-2.9314297251305126E-2"/>
                  <c:y val="-0.13307947834645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34AC-4411-A95B-9E9D63EE3683}"/>
                </c:ext>
              </c:extLst>
            </c:dLbl>
            <c:dLbl>
              <c:idx val="8"/>
              <c:layout>
                <c:manualLayout>
                  <c:x val="-3.54104118280179E-2"/>
                  <c:y val="-9.40169783464566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34AC-4411-A95B-9E9D63EE3683}"/>
                </c:ext>
              </c:extLst>
            </c:dLbl>
            <c:dLbl>
              <c:idx val="9"/>
              <c:layout>
                <c:manualLayout>
                  <c:x val="-3.2719776934358027E-2"/>
                  <c:y val="-7.5787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34AC-4411-A95B-9E9D63EE3683}"/>
                </c:ext>
              </c:extLst>
            </c:dLbl>
            <c:dLbl>
              <c:idx val="10"/>
              <c:layout>
                <c:manualLayout>
                  <c:x val="-2.8417409362291254E-2"/>
                  <c:y val="-9.14128116797900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34AC-4411-A95B-9E9D63EE3683}"/>
                </c:ext>
              </c:extLst>
            </c:dLbl>
            <c:dLbl>
              <c:idx val="11"/>
              <c:layout>
                <c:manualLayout>
                  <c:x val="-3.4012244441826933E-2"/>
                  <c:y val="-0.11197916666666667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34AC-4411-A95B-9E9D63EE3683}"/>
                </c:ext>
              </c:extLst>
            </c:dLbl>
            <c:dLbl>
              <c:idx val="12"/>
              <c:layout>
                <c:manualLayout>
                  <c:x val="-2.5938609773722299E-2"/>
                  <c:y val="-0.1205128712871288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34AC-4411-A95B-9E9D63EE3683}"/>
                </c:ext>
              </c:extLst>
            </c:dLbl>
            <c:dLbl>
              <c:idx val="13"/>
              <c:layout>
                <c:manualLayout>
                  <c:x val="-2.8479183117328648E-2"/>
                  <c:y val="-0.10063014301430154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0-34AC-4411-A95B-9E9D63EE3683}"/>
                </c:ext>
              </c:extLst>
            </c:dLbl>
            <c:dLbl>
              <c:idx val="14"/>
              <c:layout>
                <c:manualLayout>
                  <c:x val="-2.3102441287319669E-2"/>
                  <c:y val="-9.700330033003311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1-34AC-4411-A95B-9E9D63EE3683}"/>
                </c:ext>
              </c:extLst>
            </c:dLbl>
            <c:dLbl>
              <c:idx val="15"/>
              <c:layout>
                <c:manualLayout>
                  <c:x val="-1.7243956618774524E-4"/>
                  <c:y val="-0.39040264026402649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34AC-4411-A95B-9E9D63EE3683}"/>
                </c:ext>
              </c:extLst>
            </c:dLbl>
            <c:numFmt formatCode="0.0%" sourceLinked="0"/>
            <c:spPr>
              <a:solidFill>
                <a:schemeClr val="bg1">
                  <a:lumMod val="8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solidFill>
                      <a:schemeClr val="tx1">
                        <a:lumMod val="75000"/>
                        <a:lumOff val="25000"/>
                      </a:schemeClr>
                    </a:solidFill>
                  </a:defRPr>
                </a:pPr>
                <a:endParaRPr lang="es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Lit>
              <c:formatCode>General</c:formatCode>
              <c:ptCount val="16"/>
              <c:pt idx="0">
                <c:v>2003</c:v>
              </c:pt>
              <c:pt idx="1">
                <c:v>2004</c:v>
              </c:pt>
              <c:pt idx="2">
                <c:v>2005</c:v>
              </c:pt>
              <c:pt idx="3">
                <c:v>2006</c:v>
              </c:pt>
              <c:pt idx="4">
                <c:v>2007</c:v>
              </c:pt>
              <c:pt idx="5">
                <c:v>2008</c:v>
              </c:pt>
              <c:pt idx="6">
                <c:v>2009</c:v>
              </c:pt>
              <c:pt idx="7">
                <c:v>2010</c:v>
              </c:pt>
              <c:pt idx="8">
                <c:v>2011</c:v>
              </c:pt>
              <c:pt idx="9">
                <c:v>2012</c:v>
              </c:pt>
              <c:pt idx="10">
                <c:v>2013</c:v>
              </c:pt>
              <c:pt idx="11">
                <c:v>2014</c:v>
              </c:pt>
              <c:pt idx="12">
                <c:v>2015</c:v>
              </c:pt>
              <c:pt idx="13">
                <c:v>2016</c:v>
              </c:pt>
              <c:pt idx="14">
                <c:v>2017</c:v>
              </c:pt>
              <c:pt idx="15">
                <c:v>2018</c:v>
              </c:pt>
            </c:numLit>
          </c:cat>
          <c:val>
            <c:numLit>
              <c:formatCode>General</c:formatCode>
              <c:ptCount val="16"/>
              <c:pt idx="1">
                <c:v>6.6752059884634063E-2</c:v>
              </c:pt>
              <c:pt idx="2">
                <c:v>6.8758163412958817E-2</c:v>
              </c:pt>
              <c:pt idx="3">
                <c:v>0.17889977090635201</c:v>
              </c:pt>
              <c:pt idx="4">
                <c:v>-1.7308705259468815E-2</c:v>
              </c:pt>
              <c:pt idx="5">
                <c:v>-4.8803761284281211E-2</c:v>
              </c:pt>
              <c:pt idx="6">
                <c:v>1.3382816401636966E-3</c:v>
              </c:pt>
              <c:pt idx="7">
                <c:v>9.8510267049713995E-2</c:v>
              </c:pt>
              <c:pt idx="8">
                <c:v>-0.17073760265607973</c:v>
              </c:pt>
              <c:pt idx="9">
                <c:v>-0.10646106231708652</c:v>
              </c:pt>
              <c:pt idx="10">
                <c:v>9.8318843454338278E-2</c:v>
              </c:pt>
              <c:pt idx="11">
                <c:v>0.10908687252218208</c:v>
              </c:pt>
              <c:pt idx="12">
                <c:v>7.4384734072682646E-2</c:v>
              </c:pt>
              <c:pt idx="13">
                <c:v>-0.14891885546806061</c:v>
              </c:pt>
              <c:pt idx="14">
                <c:v>5.857662701204136E-3</c:v>
              </c:pt>
              <c:pt idx="15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43-34AC-4411-A95B-9E9D63EE36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438848"/>
        <c:axId val="93432320"/>
      </c:lineChart>
      <c:catAx>
        <c:axId val="93438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100"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2320"/>
        <c:crosses val="autoZero"/>
        <c:auto val="1"/>
        <c:lblAlgn val="ctr"/>
        <c:lblOffset val="100"/>
        <c:tickLblSkip val="1"/>
        <c:noMultiLvlLbl val="0"/>
      </c:catAx>
      <c:valAx>
        <c:axId val="93432320"/>
        <c:scaling>
          <c:orientation val="minMax"/>
        </c:scaling>
        <c:delete val="0"/>
        <c:axPos val="r"/>
        <c:numFmt formatCode="General" sourceLinked="1"/>
        <c:majorTickMark val="none"/>
        <c:minorTickMark val="none"/>
        <c:tickLblPos val="none"/>
        <c:spPr>
          <a:noFill/>
          <a:ln>
            <a:noFill/>
          </a:ln>
        </c:spPr>
        <c:txPr>
          <a:bodyPr/>
          <a:lstStyle/>
          <a:p>
            <a:pPr>
              <a:defRPr>
                <a:solidFill>
                  <a:schemeClr val="tx1">
                    <a:lumMod val="75000"/>
                    <a:lumOff val="25000"/>
                  </a:schemeClr>
                </a:solidFill>
              </a:defRPr>
            </a:pPr>
            <a:endParaRPr lang="es-ES"/>
          </a:p>
        </c:txPr>
        <c:crossAx val="93438848"/>
        <c:crosses val="max"/>
        <c:crossBetween val="between"/>
      </c:valAx>
      <c:spPr>
        <a:noFill/>
        <a:ln>
          <a:noFill/>
        </a:ln>
      </c:spPr>
    </c:plotArea>
    <c:legend>
      <c:legendPos val="t"/>
      <c:legendEntry>
        <c:idx val="3"/>
        <c:delete val="1"/>
      </c:legendEntry>
      <c:legendEntry>
        <c:idx val="5"/>
        <c:delete val="1"/>
      </c:legendEntry>
      <c:layout>
        <c:manualLayout>
          <c:xMode val="edge"/>
          <c:yMode val="edge"/>
          <c:x val="0"/>
          <c:y val="6.8355479002624689E-2"/>
          <c:w val="0.63007114592909386"/>
          <c:h val="6.135000300534952E-2"/>
        </c:manualLayout>
      </c:layout>
      <c:overlay val="0"/>
      <c:txPr>
        <a:bodyPr/>
        <a:lstStyle/>
        <a:p>
          <a:pPr>
            <a:defRPr sz="1200">
              <a:solidFill>
                <a:schemeClr val="tx1">
                  <a:lumMod val="75000"/>
                  <a:lumOff val="25000"/>
                </a:schemeClr>
              </a:solidFill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  <c:userShapes r:id="rId2"/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'distribución canarias x munici'!$B$3</c:f>
          <c:strCache>
            <c:ptCount val="1"/>
            <c:pt idx="0">
              <c:v>Viajeros canarios entrados en los hoteles y apartamentos de Tenerife por municipio de alojamiento</c:v>
            </c:pt>
          </c:strCache>
        </c:strRef>
      </c:tx>
      <c:layout>
        <c:manualLayout>
          <c:xMode val="edge"/>
          <c:yMode val="edge"/>
          <c:x val="1.0259905184324528E-3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7727254388005181"/>
          <c:y val="0.16206612589429406"/>
          <c:w val="0.82272741511946601"/>
          <c:h val="0.4057496901054325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'distribución canarias x munici'!$G$5</c:f>
              <c:strCache>
                <c:ptCount val="1"/>
                <c:pt idx="0">
                  <c:v>acumulado julio 2024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'distribución canarias x munici'!$B$7:$B$16</c:f>
              <c:strCache>
                <c:ptCount val="10"/>
                <c:pt idx="0">
                  <c:v>Adeje</c:v>
                </c:pt>
                <c:pt idx="1">
                  <c:v>Arona</c:v>
                </c:pt>
                <c:pt idx="2">
                  <c:v>Granadilla de Abona</c:v>
                </c:pt>
                <c:pt idx="3">
                  <c:v>Puerto de la Cruz</c:v>
                </c:pt>
                <c:pt idx="4">
                  <c:v>San Miguel de Abona</c:v>
                </c:pt>
                <c:pt idx="5">
                  <c:v>Santa Cruz de Tenerife</c:v>
                </c:pt>
                <c:pt idx="6">
                  <c:v>San Cristóbal de La Laguna</c:v>
                </c:pt>
                <c:pt idx="7">
                  <c:v>Santiago del Teide</c:v>
                </c:pt>
                <c:pt idx="8">
                  <c:v>Guía de Isora</c:v>
                </c:pt>
                <c:pt idx="9">
                  <c:v>Resto de municipios de Tenerife</c:v>
                </c:pt>
              </c:strCache>
            </c:strRef>
          </c:cat>
          <c:val>
            <c:numRef>
              <c:f>'distribución canarias x munici'!$G$7:$G$16</c:f>
              <c:numCache>
                <c:formatCode>#,##0</c:formatCode>
                <c:ptCount val="10"/>
                <c:pt idx="0">
                  <c:v>34334</c:v>
                </c:pt>
                <c:pt idx="1">
                  <c:v>26999</c:v>
                </c:pt>
                <c:pt idx="2">
                  <c:v>5394</c:v>
                </c:pt>
                <c:pt idx="3">
                  <c:v>65428</c:v>
                </c:pt>
                <c:pt idx="4">
                  <c:v>8706</c:v>
                </c:pt>
                <c:pt idx="5">
                  <c:v>43382</c:v>
                </c:pt>
                <c:pt idx="6">
                  <c:v>6280</c:v>
                </c:pt>
                <c:pt idx="7">
                  <c:v>10024</c:v>
                </c:pt>
                <c:pt idx="8">
                  <c:v>19799</c:v>
                </c:pt>
                <c:pt idx="9">
                  <c:v>22622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07D-4F5D-BF6B-28FE6BF64F87}"/>
            </c:ext>
          </c:extLst>
        </c:ser>
        <c:ser>
          <c:idx val="1"/>
          <c:order val="1"/>
          <c:tx>
            <c:strRef>
              <c:f>'distribución canarias x munici'!$K$5</c:f>
              <c:strCache>
                <c:ptCount val="1"/>
                <c:pt idx="0">
                  <c:v>acumulado julio 2025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6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munici'!$K$7:$K$16</c:f>
              <c:numCache>
                <c:formatCode>#,##0</c:formatCode>
                <c:ptCount val="10"/>
                <c:pt idx="0">
                  <c:v>35688</c:v>
                </c:pt>
                <c:pt idx="1">
                  <c:v>26524</c:v>
                </c:pt>
                <c:pt idx="2">
                  <c:v>2885</c:v>
                </c:pt>
                <c:pt idx="3">
                  <c:v>55407</c:v>
                </c:pt>
                <c:pt idx="4">
                  <c:v>11329</c:v>
                </c:pt>
                <c:pt idx="5">
                  <c:v>55226</c:v>
                </c:pt>
                <c:pt idx="6">
                  <c:v>6212</c:v>
                </c:pt>
                <c:pt idx="7">
                  <c:v>9241</c:v>
                </c:pt>
                <c:pt idx="8">
                  <c:v>10049</c:v>
                </c:pt>
                <c:pt idx="9">
                  <c:v>18740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7D-4F5D-BF6B-28FE6BF64F87}"/>
            </c:ext>
          </c:extLst>
        </c:ser>
        <c:ser>
          <c:idx val="2"/>
          <c:order val="2"/>
          <c:tx>
            <c:strRef>
              <c:f>'distribución canarias x munici'!$O$5</c:f>
              <c:strCache>
                <c:ptCount val="1"/>
                <c:pt idx="0">
                  <c:v>acumulado julio 2026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accent3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'distribución canarias x munici'!$O$7:$O$16</c:f>
              <c:numCache>
                <c:formatCode>#,##0</c:formatCode>
                <c:ptCount val="10"/>
                <c:pt idx="0">
                  <c:v>39706</c:v>
                </c:pt>
                <c:pt idx="1">
                  <c:v>38161</c:v>
                </c:pt>
                <c:pt idx="2">
                  <c:v>4983</c:v>
                </c:pt>
                <c:pt idx="3">
                  <c:v>74445</c:v>
                </c:pt>
                <c:pt idx="4">
                  <c:v>14660</c:v>
                </c:pt>
                <c:pt idx="5">
                  <c:v>55216</c:v>
                </c:pt>
                <c:pt idx="6">
                  <c:v>8055</c:v>
                </c:pt>
                <c:pt idx="7">
                  <c:v>14672</c:v>
                </c:pt>
                <c:pt idx="8">
                  <c:v>13286</c:v>
                </c:pt>
                <c:pt idx="9">
                  <c:v>9402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07D-4F5D-BF6B-28FE6BF64F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1954143"/>
        <c:axId val="481968287"/>
      </c:barChart>
      <c:barChart>
        <c:barDir val="col"/>
        <c:grouping val="clustered"/>
        <c:varyColors val="0"/>
        <c:ser>
          <c:idx val="3"/>
          <c:order val="3"/>
          <c:tx>
            <c:strRef>
              <c:f>'distribución canarias x munici'!$P$5</c:f>
              <c:strCache>
                <c:ptCount val="1"/>
                <c:pt idx="0">
                  <c:v>var. 26/25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munici'!$P$7:$P$16</c:f>
              <c:numCache>
                <c:formatCode>0.0%</c:formatCode>
                <c:ptCount val="10"/>
                <c:pt idx="0">
                  <c:v>0.11258686393185391</c:v>
                </c:pt>
                <c:pt idx="1">
                  <c:v>0.43873473080983261</c:v>
                </c:pt>
                <c:pt idx="2">
                  <c:v>0.72720970537261698</c:v>
                </c:pt>
                <c:pt idx="3">
                  <c:v>0.34360279387081061</c:v>
                </c:pt>
                <c:pt idx="4">
                  <c:v>0.29402418571806876</c:v>
                </c:pt>
                <c:pt idx="5">
                  <c:v>-1.8107413174950349E-4</c:v>
                </c:pt>
                <c:pt idx="6">
                  <c:v>0.29668383773341911</c:v>
                </c:pt>
                <c:pt idx="7">
                  <c:v>0.58770695812141538</c:v>
                </c:pt>
                <c:pt idx="8">
                  <c:v>0.32212160413971547</c:v>
                </c:pt>
                <c:pt idx="9">
                  <c:v>-0.49829242262540019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07D-4F5D-BF6B-28FE6BF64F87}"/>
            </c:ext>
          </c:extLst>
        </c:ser>
        <c:ser>
          <c:idx val="6"/>
          <c:order val="4"/>
          <c:tx>
            <c:strRef>
              <c:f>'distribución canarias x munici'!$T$5</c:f>
              <c:strCache>
                <c:ptCount val="1"/>
                <c:pt idx="0">
                  <c:v>%/s total Tenerife 2026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val>
            <c:numRef>
              <c:f>'distribución canarias x munici'!$T$7:$T$16</c:f>
              <c:numCache>
                <c:formatCode>0.0%</c:formatCode>
                <c:ptCount val="10"/>
                <c:pt idx="0">
                  <c:v>0.14566412068117951</c:v>
                </c:pt>
                <c:pt idx="1">
                  <c:v>0.13999618469033626</c:v>
                </c:pt>
                <c:pt idx="2">
                  <c:v>1.828046928308864E-2</c:v>
                </c:pt>
                <c:pt idx="3">
                  <c:v>0.27310646915102021</c:v>
                </c:pt>
                <c:pt idx="4">
                  <c:v>5.3781191990784558E-2</c:v>
                </c:pt>
                <c:pt idx="5">
                  <c:v>0.20256359460867396</c:v>
                </c:pt>
                <c:pt idx="6">
                  <c:v>2.9550307059056591E-2</c:v>
                </c:pt>
                <c:pt idx="7">
                  <c:v>5.3825214794596933E-2</c:v>
                </c:pt>
                <c:pt idx="8">
                  <c:v>4.8740580954267643E-2</c:v>
                </c:pt>
                <c:pt idx="9">
                  <c:v>3.4491866786995666E-2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07D-4F5D-BF6B-28FE6BF64F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062474639"/>
        <c:axId val="2062465903"/>
      </c:barChart>
      <c:catAx>
        <c:axId val="481954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68287"/>
        <c:crosses val="autoZero"/>
        <c:auto val="1"/>
        <c:lblAlgn val="ctr"/>
        <c:lblOffset val="500"/>
        <c:noMultiLvlLbl val="0"/>
      </c:catAx>
      <c:valAx>
        <c:axId val="481968287"/>
        <c:scaling>
          <c:orientation val="minMax"/>
        </c:scaling>
        <c:delete val="0"/>
        <c:axPos val="l"/>
        <c:numFmt formatCode="#,##0" sourceLinked="1"/>
        <c:majorTickMark val="none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81954143"/>
        <c:crosses val="autoZero"/>
        <c:crossBetween val="between"/>
      </c:valAx>
      <c:valAx>
        <c:axId val="2062465903"/>
        <c:scaling>
          <c:orientation val="minMax"/>
        </c:scaling>
        <c:delete val="0"/>
        <c:axPos val="r"/>
        <c:numFmt formatCode="0.0%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062474639"/>
        <c:crosses val="max"/>
        <c:crossBetween val="between"/>
      </c:valAx>
      <c:catAx>
        <c:axId val="2062474639"/>
        <c:scaling>
          <c:orientation val="minMax"/>
        </c:scaling>
        <c:delete val="1"/>
        <c:axPos val="b"/>
        <c:majorTickMark val="out"/>
        <c:minorTickMark val="none"/>
        <c:tickLblPos val="nextTo"/>
        <c:crossAx val="2062465903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 w="25400"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3"/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españo'!$C$8:$C$22</c:f>
              <c:numCache>
                <c:formatCode>#,##0</c:formatCode>
                <c:ptCount val="15"/>
                <c:pt idx="0">
                  <c:v>178403</c:v>
                </c:pt>
                <c:pt idx="1">
                  <c:v>155988</c:v>
                </c:pt>
                <c:pt idx="2">
                  <c:v>147214</c:v>
                </c:pt>
                <c:pt idx="3">
                  <c:v>134886</c:v>
                </c:pt>
                <c:pt idx="4">
                  <c:v>104557</c:v>
                </c:pt>
                <c:pt idx="5">
                  <c:v>61571</c:v>
                </c:pt>
                <c:pt idx="6">
                  <c:v>120142</c:v>
                </c:pt>
                <c:pt idx="7">
                  <c:v>135043</c:v>
                </c:pt>
                <c:pt idx="8">
                  <c:v>159973</c:v>
                </c:pt>
                <c:pt idx="9">
                  <c:v>164216</c:v>
                </c:pt>
                <c:pt idx="10">
                  <c:v>153824</c:v>
                </c:pt>
                <c:pt idx="11">
                  <c:v>131023</c:v>
                </c:pt>
                <c:pt idx="12">
                  <c:v>118307</c:v>
                </c:pt>
                <c:pt idx="13">
                  <c:v>118732</c:v>
                </c:pt>
                <c:pt idx="14">
                  <c:v>127678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0C-4E60-96B0-DCB672091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españo'!$D$7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españo'!$B$8:$B$22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españo'!$D$8:$D$22</c:f>
              <c:numCache>
                <c:formatCode>0.0%</c:formatCode>
                <c:ptCount val="15"/>
                <c:pt idx="0">
                  <c:v>0.14369695104751656</c:v>
                </c:pt>
                <c:pt idx="1">
                  <c:v>5.9600309753148561E-2</c:v>
                </c:pt>
                <c:pt idx="2">
                  <c:v>9.1395697107186757E-2</c:v>
                </c:pt>
                <c:pt idx="3">
                  <c:v>0.29007144428397913</c:v>
                </c:pt>
                <c:pt idx="4">
                  <c:v>0.69815335141543899</c:v>
                </c:pt>
                <c:pt idx="5">
                  <c:v>-0.48751477418388245</c:v>
                </c:pt>
                <c:pt idx="6">
                  <c:v>-0.11034263160622915</c:v>
                </c:pt>
                <c:pt idx="7">
                  <c:v>-0.15583879779712828</c:v>
                </c:pt>
                <c:pt idx="8">
                  <c:v>-2.5837920787255775E-2</c:v>
                </c:pt>
                <c:pt idx="9">
                  <c:v>6.7557728312876986E-2</c:v>
                </c:pt>
                <c:pt idx="10">
                  <c:v>0.17402288147882428</c:v>
                </c:pt>
                <c:pt idx="11">
                  <c:v>0.10748307369809051</c:v>
                </c:pt>
                <c:pt idx="12">
                  <c:v>-3.5794899437388006E-3</c:v>
                </c:pt>
                <c:pt idx="13">
                  <c:v>-7.0066887012641188E-2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0C-4E60-96B0-DCB6720914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penins'!$C$8:$C$22</c:f>
              <c:numCache>
                <c:formatCode>#,##0</c:formatCode>
                <c:ptCount val="15"/>
                <c:pt idx="0">
                  <c:v>84941</c:v>
                </c:pt>
                <c:pt idx="1">
                  <c:v>80800</c:v>
                </c:pt>
                <c:pt idx="2">
                  <c:v>80189</c:v>
                </c:pt>
                <c:pt idx="3">
                  <c:v>65021</c:v>
                </c:pt>
                <c:pt idx="4">
                  <c:v>51310</c:v>
                </c:pt>
                <c:pt idx="5">
                  <c:v>33780</c:v>
                </c:pt>
                <c:pt idx="6">
                  <c:v>59066</c:v>
                </c:pt>
                <c:pt idx="7">
                  <c:v>59802</c:v>
                </c:pt>
                <c:pt idx="8">
                  <c:v>65928</c:v>
                </c:pt>
                <c:pt idx="9">
                  <c:v>70751</c:v>
                </c:pt>
                <c:pt idx="10">
                  <c:v>58507</c:v>
                </c:pt>
                <c:pt idx="11">
                  <c:v>44793</c:v>
                </c:pt>
                <c:pt idx="12">
                  <c:v>53720</c:v>
                </c:pt>
                <c:pt idx="13">
                  <c:v>60145</c:v>
                </c:pt>
                <c:pt idx="14">
                  <c:v>65877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C4-40BA-8F70-4C2FCF27C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penins'!$D$7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penins'!$B$8:$B$22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penins'!$D$8:$D$22</c:f>
              <c:numCache>
                <c:formatCode>0.0%</c:formatCode>
                <c:ptCount val="15"/>
                <c:pt idx="0">
                  <c:v>5.1250000000000018E-2</c:v>
                </c:pt>
                <c:pt idx="1">
                  <c:v>7.6194989337690089E-3</c:v>
                </c:pt>
                <c:pt idx="2">
                  <c:v>0.23327847926054668</c:v>
                </c:pt>
                <c:pt idx="3">
                  <c:v>0.26721886571818354</c:v>
                </c:pt>
                <c:pt idx="4">
                  <c:v>0.51894612196566015</c:v>
                </c:pt>
                <c:pt idx="5">
                  <c:v>-0.42809738258896823</c:v>
                </c:pt>
                <c:pt idx="6">
                  <c:v>-1.2307280692953393E-2</c:v>
                </c:pt>
                <c:pt idx="7">
                  <c:v>-9.2919548598471069E-2</c:v>
                </c:pt>
                <c:pt idx="8">
                  <c:v>-6.8168647792964054E-2</c:v>
                </c:pt>
                <c:pt idx="9">
                  <c:v>0.2092741039533732</c:v>
                </c:pt>
                <c:pt idx="10">
                  <c:v>0.30616390953943706</c:v>
                </c:pt>
                <c:pt idx="11">
                  <c:v>-0.16617647058823526</c:v>
                </c:pt>
                <c:pt idx="12">
                  <c:v>-0.10682517249979218</c:v>
                </c:pt>
                <c:pt idx="13">
                  <c:v>-8.7010641043156145E-2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C4-40BA-8F70-4C2FCF27CC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567334541062802"/>
          <c:y val="0.15609807191281147"/>
          <c:w val="0.86939722222222227"/>
          <c:h val="0.56248308341242015"/>
        </c:manualLayout>
      </c:layout>
      <c:lineChart>
        <c:grouping val="standard"/>
        <c:varyColors val="0"/>
        <c:ser>
          <c:idx val="3"/>
          <c:order val="0"/>
          <c:tx>
            <c:v>viajeros entrados</c:v>
          </c:tx>
          <c:spPr>
            <a:ln w="28575" cap="rnd">
              <a:solidFill>
                <a:srgbClr val="2683C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2683C6"/>
              </a:solidFill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canari'!$C$8:$C$22</c:f>
              <c:numCache>
                <c:formatCode>#,##0</c:formatCode>
                <c:ptCount val="15"/>
                <c:pt idx="0">
                  <c:v>93462</c:v>
                </c:pt>
                <c:pt idx="1">
                  <c:v>75188</c:v>
                </c:pt>
                <c:pt idx="2">
                  <c:v>67025</c:v>
                </c:pt>
                <c:pt idx="3">
                  <c:v>69865</c:v>
                </c:pt>
                <c:pt idx="4">
                  <c:v>53247</c:v>
                </c:pt>
                <c:pt idx="5">
                  <c:v>27791</c:v>
                </c:pt>
                <c:pt idx="6">
                  <c:v>61076</c:v>
                </c:pt>
                <c:pt idx="7">
                  <c:v>75241</c:v>
                </c:pt>
                <c:pt idx="8">
                  <c:v>94045</c:v>
                </c:pt>
                <c:pt idx="9">
                  <c:v>93465</c:v>
                </c:pt>
                <c:pt idx="10">
                  <c:v>95317</c:v>
                </c:pt>
                <c:pt idx="11">
                  <c:v>86230</c:v>
                </c:pt>
                <c:pt idx="12">
                  <c:v>64587</c:v>
                </c:pt>
                <c:pt idx="13">
                  <c:v>58587</c:v>
                </c:pt>
                <c:pt idx="14">
                  <c:v>61801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36-4B04-B91E-D9E5D1A54E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lineChart>
        <c:grouping val="standard"/>
        <c:varyColors val="0"/>
        <c:ser>
          <c:idx val="2"/>
          <c:order val="1"/>
          <c:tx>
            <c:strRef>
              <c:f>'evolución anual viaj ent canari'!$D$7</c:f>
              <c:strCache>
                <c:ptCount val="1"/>
                <c:pt idx="0">
                  <c:v>var interanual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square"/>
            <c:size val="5"/>
            <c:spPr>
              <a:noFill/>
              <a:ln w="9525">
                <a:noFill/>
              </a:ln>
              <a:effectLst/>
            </c:spPr>
          </c:marker>
          <c:cat>
            <c:numRef>
              <c:f>'evolución anual viaj ent canari'!$B$8:$B$22</c:f>
              <c:numCache>
                <c:formatCode>General</c:formatCode>
                <c:ptCount val="15"/>
                <c:pt idx="0">
                  <c:v>2025</c:v>
                </c:pt>
                <c:pt idx="1">
                  <c:v>2024</c:v>
                </c:pt>
                <c:pt idx="2">
                  <c:v>2023</c:v>
                </c:pt>
                <c:pt idx="3">
                  <c:v>2022</c:v>
                </c:pt>
                <c:pt idx="4">
                  <c:v>2021</c:v>
                </c:pt>
                <c:pt idx="5">
                  <c:v>2020</c:v>
                </c:pt>
                <c:pt idx="6">
                  <c:v>2019</c:v>
                </c:pt>
                <c:pt idx="7">
                  <c:v>2018</c:v>
                </c:pt>
                <c:pt idx="8">
                  <c:v>2017</c:v>
                </c:pt>
                <c:pt idx="9">
                  <c:v>2016</c:v>
                </c:pt>
                <c:pt idx="10">
                  <c:v>2015</c:v>
                </c:pt>
                <c:pt idx="11">
                  <c:v>2014</c:v>
                </c:pt>
                <c:pt idx="12">
                  <c:v>2013</c:v>
                </c:pt>
                <c:pt idx="13">
                  <c:v>2012</c:v>
                </c:pt>
                <c:pt idx="14">
                  <c:v>2011</c:v>
                </c:pt>
              </c:numCache>
            </c:numRef>
          </c:cat>
          <c:val>
            <c:numRef>
              <c:f>'evolución anual viaj ent canari'!$D$8:$D$22</c:f>
              <c:numCache>
                <c:formatCode>0.0%</c:formatCode>
                <c:ptCount val="15"/>
                <c:pt idx="0">
                  <c:v>0.24304410278235888</c:v>
                </c:pt>
                <c:pt idx="1">
                  <c:v>0.12179037672510251</c:v>
                </c:pt>
                <c:pt idx="2">
                  <c:v>-4.0649824661847855E-2</c:v>
                </c:pt>
                <c:pt idx="3">
                  <c:v>0.31209270005821921</c:v>
                </c:pt>
                <c:pt idx="4">
                  <c:v>0.91597999352308301</c:v>
                </c:pt>
                <c:pt idx="5">
                  <c:v>-0.5449767502783418</c:v>
                </c:pt>
                <c:pt idx="6">
                  <c:v>-0.18826171900958255</c:v>
                </c:pt>
                <c:pt idx="7">
                  <c:v>-0.19994683396246482</c:v>
                </c:pt>
                <c:pt idx="8">
                  <c:v>6.2055314823730168E-3</c:v>
                </c:pt>
                <c:pt idx="9">
                  <c:v>-1.942990232592301E-2</c:v>
                </c:pt>
                <c:pt idx="10">
                  <c:v>0.10538095790328184</c:v>
                </c:pt>
                <c:pt idx="11">
                  <c:v>0.33509839441373646</c:v>
                </c:pt>
                <c:pt idx="12">
                  <c:v>0.10241179783911103</c:v>
                </c:pt>
                <c:pt idx="13">
                  <c:v>-5.2005630976845074E-2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36-4B04-B91E-D9E5D1A54E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93731263"/>
        <c:axId val="293743791"/>
      </c:lineChart>
      <c:catAx>
        <c:axId val="293731263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solidFill>
            <a:srgbClr val="2683C6"/>
          </a:solidFill>
          <a:ln w="9525" cap="flat" cmpd="sng" algn="ctr">
            <a:solidFill>
              <a:srgbClr val="2683C6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43791"/>
        <c:crosses val="autoZero"/>
        <c:auto val="1"/>
        <c:lblAlgn val="ctr"/>
        <c:lblOffset val="800"/>
        <c:noMultiLvlLbl val="0"/>
      </c:catAx>
      <c:valAx>
        <c:axId val="293743791"/>
        <c:scaling>
          <c:orientation val="minMax"/>
          <c:min val="0"/>
        </c:scaling>
        <c:delete val="0"/>
        <c:axPos val="l"/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93731263"/>
        <c:crosses val="max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59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108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 mods="ignoreCSTransforms">
      <cs:styleClr val="0">
        <a:shade val="25000"/>
      </cs:styl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 mods="ignoreCSTransforms">
      <cs:styleClr val="0">
        <a:tint val="25000"/>
      </cs:styl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7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.xml"/><Relationship Id="rId13" Type="http://schemas.openxmlformats.org/officeDocument/2006/relationships/chart" Target="../charts/chart10.xml"/><Relationship Id="rId3" Type="http://schemas.openxmlformats.org/officeDocument/2006/relationships/image" Target="../media/image3.png"/><Relationship Id="rId7" Type="http://schemas.openxmlformats.org/officeDocument/2006/relationships/chart" Target="../charts/chart4.xml"/><Relationship Id="rId12" Type="http://schemas.openxmlformats.org/officeDocument/2006/relationships/chart" Target="../charts/chart9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13.xml"/><Relationship Id="rId1" Type="http://schemas.openxmlformats.org/officeDocument/2006/relationships/chart" Target="../charts/chart1.xml"/><Relationship Id="rId6" Type="http://schemas.openxmlformats.org/officeDocument/2006/relationships/chart" Target="../charts/chart3.xml"/><Relationship Id="rId11" Type="http://schemas.openxmlformats.org/officeDocument/2006/relationships/chart" Target="../charts/chart8.xml"/><Relationship Id="rId5" Type="http://schemas.openxmlformats.org/officeDocument/2006/relationships/chart" Target="../charts/chart2.xml"/><Relationship Id="rId15" Type="http://schemas.openxmlformats.org/officeDocument/2006/relationships/chart" Target="../charts/chart12.xml"/><Relationship Id="rId10" Type="http://schemas.openxmlformats.org/officeDocument/2006/relationships/chart" Target="../charts/chart7.xml"/><Relationship Id="rId4" Type="http://schemas.openxmlformats.org/officeDocument/2006/relationships/image" Target="../media/image2.png"/><Relationship Id="rId9" Type="http://schemas.openxmlformats.org/officeDocument/2006/relationships/chart" Target="../charts/chart6.xml"/><Relationship Id="rId14" Type="http://schemas.openxmlformats.org/officeDocument/2006/relationships/chart" Target="../charts/chart11.xml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chart" Target="../charts/chart17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14.xml"/><Relationship Id="rId6" Type="http://schemas.openxmlformats.org/officeDocument/2006/relationships/chart" Target="../charts/chart16.xml"/><Relationship Id="rId5" Type="http://schemas.openxmlformats.org/officeDocument/2006/relationships/chart" Target="../charts/chart15.xml"/><Relationship Id="rId4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18.xml"/><Relationship Id="rId6" Type="http://schemas.openxmlformats.org/officeDocument/2006/relationships/chart" Target="../charts/chart20.xml"/><Relationship Id="rId5" Type="http://schemas.openxmlformats.org/officeDocument/2006/relationships/chart" Target="../charts/chart19.xml"/><Relationship Id="rId4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3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1.xml"/></Relationships>
</file>

<file path=xl/drawings/_rels/drawing3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2.xml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3.xml"/></Relationships>
</file>

<file path=xl/drawings/_rels/drawing3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4.xml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5.xml"/></Relationships>
</file>

<file path=xl/drawings/_rels/drawing4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Relationship Id="rId4" Type="http://schemas.openxmlformats.org/officeDocument/2006/relationships/chart" Target="../charts/chart26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0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1.xml"/><Relationship Id="rId13" Type="http://schemas.openxmlformats.org/officeDocument/2006/relationships/chart" Target="../charts/chart36.xml"/><Relationship Id="rId3" Type="http://schemas.openxmlformats.org/officeDocument/2006/relationships/image" Target="../media/image3.png"/><Relationship Id="rId7" Type="http://schemas.openxmlformats.org/officeDocument/2006/relationships/chart" Target="../charts/chart30.xml"/><Relationship Id="rId12" Type="http://schemas.openxmlformats.org/officeDocument/2006/relationships/chart" Target="../charts/chart35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27.xml"/><Relationship Id="rId6" Type="http://schemas.openxmlformats.org/officeDocument/2006/relationships/chart" Target="../charts/chart29.xml"/><Relationship Id="rId11" Type="http://schemas.openxmlformats.org/officeDocument/2006/relationships/chart" Target="../charts/chart34.xml"/><Relationship Id="rId5" Type="http://schemas.openxmlformats.org/officeDocument/2006/relationships/chart" Target="../charts/chart28.xml"/><Relationship Id="rId15" Type="http://schemas.openxmlformats.org/officeDocument/2006/relationships/chart" Target="../charts/chart38.xml"/><Relationship Id="rId10" Type="http://schemas.openxmlformats.org/officeDocument/2006/relationships/chart" Target="../charts/chart33.xml"/><Relationship Id="rId4" Type="http://schemas.openxmlformats.org/officeDocument/2006/relationships/image" Target="../media/image2.png"/><Relationship Id="rId9" Type="http://schemas.openxmlformats.org/officeDocument/2006/relationships/chart" Target="../charts/chart32.xml"/><Relationship Id="rId14" Type="http://schemas.openxmlformats.org/officeDocument/2006/relationships/chart" Target="../charts/chart37.xml"/></Relationships>
</file>

<file path=xl/drawings/_rels/drawing6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chart" Target="../charts/chart42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39.xml"/><Relationship Id="rId6" Type="http://schemas.openxmlformats.org/officeDocument/2006/relationships/chart" Target="../charts/chart41.xml"/><Relationship Id="rId5" Type="http://schemas.openxmlformats.org/officeDocument/2006/relationships/chart" Target="../charts/chart40.xml"/><Relationship Id="rId4" Type="http://schemas.openxmlformats.org/officeDocument/2006/relationships/image" Target="../media/image2.png"/></Relationships>
</file>

<file path=xl/drawings/_rels/drawing6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6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47.xml"/><Relationship Id="rId13" Type="http://schemas.openxmlformats.org/officeDocument/2006/relationships/chart" Target="../charts/chart52.xml"/><Relationship Id="rId3" Type="http://schemas.openxmlformats.org/officeDocument/2006/relationships/image" Target="../media/image3.png"/><Relationship Id="rId7" Type="http://schemas.openxmlformats.org/officeDocument/2006/relationships/chart" Target="../charts/chart46.xml"/><Relationship Id="rId12" Type="http://schemas.openxmlformats.org/officeDocument/2006/relationships/chart" Target="../charts/chart51.xml"/><Relationship Id="rId2" Type="http://schemas.openxmlformats.org/officeDocument/2006/relationships/hyperlink" Target="#'Men&#250; principal'!A1"/><Relationship Id="rId16" Type="http://schemas.openxmlformats.org/officeDocument/2006/relationships/chart" Target="../charts/chart55.xml"/><Relationship Id="rId1" Type="http://schemas.openxmlformats.org/officeDocument/2006/relationships/chart" Target="../charts/chart43.xml"/><Relationship Id="rId6" Type="http://schemas.openxmlformats.org/officeDocument/2006/relationships/chart" Target="../charts/chart45.xml"/><Relationship Id="rId11" Type="http://schemas.openxmlformats.org/officeDocument/2006/relationships/chart" Target="../charts/chart50.xml"/><Relationship Id="rId5" Type="http://schemas.openxmlformats.org/officeDocument/2006/relationships/chart" Target="../charts/chart44.xml"/><Relationship Id="rId15" Type="http://schemas.openxmlformats.org/officeDocument/2006/relationships/chart" Target="../charts/chart54.xml"/><Relationship Id="rId10" Type="http://schemas.openxmlformats.org/officeDocument/2006/relationships/chart" Target="../charts/chart49.xml"/><Relationship Id="rId4" Type="http://schemas.openxmlformats.org/officeDocument/2006/relationships/image" Target="../media/image2.png"/><Relationship Id="rId9" Type="http://schemas.openxmlformats.org/officeDocument/2006/relationships/chart" Target="../charts/chart48.xml"/><Relationship Id="rId14" Type="http://schemas.openxmlformats.org/officeDocument/2006/relationships/chart" Target="../charts/chart53.xml"/></Relationships>
</file>

<file path=xl/drawings/_rels/drawing8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chart" Target="../charts/chart59.xml"/><Relationship Id="rId2" Type="http://schemas.openxmlformats.org/officeDocument/2006/relationships/hyperlink" Target="#'Men&#250; principal'!A1"/><Relationship Id="rId1" Type="http://schemas.openxmlformats.org/officeDocument/2006/relationships/chart" Target="../charts/chart56.xml"/><Relationship Id="rId6" Type="http://schemas.openxmlformats.org/officeDocument/2006/relationships/chart" Target="../charts/chart58.xml"/><Relationship Id="rId5" Type="http://schemas.openxmlformats.org/officeDocument/2006/relationships/chart" Target="../charts/chart57.xml"/><Relationship Id="rId4" Type="http://schemas.openxmlformats.org/officeDocument/2006/relationships/image" Target="../media/image2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2.xml.rels><?xml version="1.0" encoding="UTF-8" standalone="yes"?>
<Relationships xmlns="http://schemas.openxmlformats.org/package/2006/relationships"><Relationship Id="rId3" Type="http://schemas.openxmlformats.org/officeDocument/2006/relationships/hyperlink" Target="#'Men&#250; principal'!A1"/><Relationship Id="rId7" Type="http://schemas.openxmlformats.org/officeDocument/2006/relationships/chart" Target="../charts/chart63.xml"/><Relationship Id="rId2" Type="http://schemas.openxmlformats.org/officeDocument/2006/relationships/chart" Target="../charts/chart61.xml"/><Relationship Id="rId1" Type="http://schemas.openxmlformats.org/officeDocument/2006/relationships/chart" Target="../charts/chart60.xml"/><Relationship Id="rId6" Type="http://schemas.openxmlformats.org/officeDocument/2006/relationships/chart" Target="../charts/chart62.xml"/><Relationship Id="rId5" Type="http://schemas.openxmlformats.org/officeDocument/2006/relationships/image" Target="../media/image2.png"/><Relationship Id="rId4" Type="http://schemas.openxmlformats.org/officeDocument/2006/relationships/image" Target="../media/image3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9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3.png"/><Relationship Id="rId1" Type="http://schemas.openxmlformats.org/officeDocument/2006/relationships/hyperlink" Target="#'Men&#250; principal'!A1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2.xml.rels><?xml version="1.0" encoding="UTF-8" standalone="yes"?>
<Relationships xmlns="http://schemas.openxmlformats.org/package/2006/relationships"><Relationship Id="rId3" Type="http://schemas.openxmlformats.org/officeDocument/2006/relationships/hyperlink" Target="#'Men&#250; principal'!A1"/><Relationship Id="rId2" Type="http://schemas.openxmlformats.org/officeDocument/2006/relationships/chart" Target="../charts/chart65.xml"/><Relationship Id="rId1" Type="http://schemas.openxmlformats.org/officeDocument/2006/relationships/chart" Target="../charts/chart64.xml"/><Relationship Id="rId6" Type="http://schemas.openxmlformats.org/officeDocument/2006/relationships/image" Target="../media/image6.png"/><Relationship Id="rId5" Type="http://schemas.openxmlformats.org/officeDocument/2006/relationships/chart" Target="../charts/chart66.xml"/><Relationship Id="rId4" Type="http://schemas.openxmlformats.org/officeDocument/2006/relationships/image" Target="../media/image5.jpeg"/></Relationships>
</file>

<file path=xl/drawings/_rels/drawing10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7.xml"/><Relationship Id="rId5" Type="http://schemas.openxmlformats.org/officeDocument/2006/relationships/chart" Target="../charts/chart68.xml"/><Relationship Id="rId4" Type="http://schemas.openxmlformats.org/officeDocument/2006/relationships/image" Target="../media/image6.png"/></Relationships>
</file>

<file path=xl/drawings/_rels/drawing10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69.xml"/><Relationship Id="rId5" Type="http://schemas.openxmlformats.org/officeDocument/2006/relationships/chart" Target="../charts/chart70.xml"/><Relationship Id="rId4" Type="http://schemas.openxmlformats.org/officeDocument/2006/relationships/image" Target="../media/image6.png"/></Relationships>
</file>

<file path=xl/drawings/_rels/drawing1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1.xml"/><Relationship Id="rId5" Type="http://schemas.openxmlformats.org/officeDocument/2006/relationships/chart" Target="../charts/chart72.xml"/><Relationship Id="rId4" Type="http://schemas.openxmlformats.org/officeDocument/2006/relationships/image" Target="../media/image6.png"/></Relationships>
</file>

<file path=xl/drawings/_rels/drawing1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3.xml"/><Relationship Id="rId6" Type="http://schemas.openxmlformats.org/officeDocument/2006/relationships/chart" Target="../charts/chart75.xml"/><Relationship Id="rId5" Type="http://schemas.openxmlformats.org/officeDocument/2006/relationships/image" Target="../media/image6.png"/><Relationship Id="rId4" Type="http://schemas.openxmlformats.org/officeDocument/2006/relationships/chart" Target="../charts/chart74.xml"/></Relationships>
</file>

<file path=xl/drawings/_rels/drawing1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6.xml"/><Relationship Id="rId6" Type="http://schemas.openxmlformats.org/officeDocument/2006/relationships/chart" Target="../charts/chart78.xml"/><Relationship Id="rId5" Type="http://schemas.openxmlformats.org/officeDocument/2006/relationships/image" Target="../media/image6.png"/><Relationship Id="rId4" Type="http://schemas.openxmlformats.org/officeDocument/2006/relationships/chart" Target="../charts/chart77.xml"/></Relationships>
</file>

<file path=xl/drawings/_rels/drawing1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hyperlink" Target="#'Men&#250; principal'!A1"/><Relationship Id="rId1" Type="http://schemas.openxmlformats.org/officeDocument/2006/relationships/chart" Target="../charts/chart79.xml"/><Relationship Id="rId6" Type="http://schemas.openxmlformats.org/officeDocument/2006/relationships/chart" Target="../charts/chart81.xml"/><Relationship Id="rId5" Type="http://schemas.openxmlformats.org/officeDocument/2006/relationships/image" Target="../media/image6.png"/><Relationship Id="rId4" Type="http://schemas.openxmlformats.org/officeDocument/2006/relationships/chart" Target="../charts/chart80.xml"/></Relationships>
</file>

<file path=xl/drawings/_rels/drawing1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2.xml"/><Relationship Id="rId4" Type="http://schemas.openxmlformats.org/officeDocument/2006/relationships/image" Target="../media/image2.png"/></Relationships>
</file>

<file path=xl/drawings/_rels/drawing12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3.xml"/><Relationship Id="rId4" Type="http://schemas.openxmlformats.org/officeDocument/2006/relationships/image" Target="../media/image2.png"/></Relationships>
</file>

<file path=xl/drawings/_rels/drawing13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Men&#250; principal'!A1"/><Relationship Id="rId1" Type="http://schemas.openxmlformats.org/officeDocument/2006/relationships/chart" Target="../charts/chart84.xml"/><Relationship Id="rId4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5934075</xdr:colOff>
      <xdr:row>1</xdr:row>
      <xdr:rowOff>171450</xdr:rowOff>
    </xdr:from>
    <xdr:to>
      <xdr:col>1</xdr:col>
      <xdr:colOff>9159636</xdr:colOff>
      <xdr:row>3</xdr:row>
      <xdr:rowOff>131340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8666666-F56F-4E08-B424-2A8A4F9DB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5" y="361950"/>
          <a:ext cx="3225561" cy="8742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361950</xdr:colOff>
      <xdr:row>2</xdr:row>
      <xdr:rowOff>133631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F59F75F-FE1D-43CA-8E5D-34EDCCF7B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1</xdr:col>
      <xdr:colOff>0</xdr:colOff>
      <xdr:row>5</xdr:row>
      <xdr:rowOff>284480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06EB42B-02B1-4959-BB69-6C61F1F03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1500"/>
          <a:ext cx="762000" cy="655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358140</xdr:colOff>
      <xdr:row>2</xdr:row>
      <xdr:rowOff>129821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EB5CF03-0CC3-4956-A46F-6824CCE2B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2140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</xdr:row>
      <xdr:rowOff>57150</xdr:rowOff>
    </xdr:from>
    <xdr:to>
      <xdr:col>1</xdr:col>
      <xdr:colOff>0</xdr:colOff>
      <xdr:row>5</xdr:row>
      <xdr:rowOff>364172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C7C56A0-90C6-4BD0-877A-34BB7D682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0"/>
          <a:ext cx="762000" cy="67849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1</xdr:row>
      <xdr:rowOff>180975</xdr:rowOff>
    </xdr:from>
    <xdr:to>
      <xdr:col>11</xdr:col>
      <xdr:colOff>28575</xdr:colOff>
      <xdr:row>24</xdr:row>
      <xdr:rowOff>171450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C2B14782-D4E0-42EF-943B-6F4736ECA6BF}"/>
            </a:ext>
          </a:extLst>
        </xdr:cNvPr>
        <xdr:cNvGrpSpPr/>
      </xdr:nvGrpSpPr>
      <xdr:grpSpPr>
        <a:xfrm>
          <a:off x="638175" y="3714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6030A86B-28ED-EA47-1C03-4D2C726C93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8FCC0B0F-D238-0D2E-7DB2-B537F43BDC0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indent="0" algn="ctr" rtl="0">
              <a:defRPr sz="1000"/>
            </a:pPr>
            <a:r>
              <a:rPr lang="es-ES" sz="48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Estimación oferta hoteles y apartamentos en funcionamiento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A7F963-BE77-4AAC-9F86-0EFEC4D69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D52F267-8968-42EF-82CE-1D00184AF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7D973B3-9233-4FB4-9395-13713F5BC2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F3CBD4D-DE79-4F25-99A6-B5D4CBBD4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EB3D714-74E9-4594-A72A-D266E62A2E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D1AA28F-EA58-46F0-8512-D550A4311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161925</xdr:rowOff>
    </xdr:from>
    <xdr:to>
      <xdr:col>11</xdr:col>
      <xdr:colOff>180975</xdr:colOff>
      <xdr:row>24</xdr:row>
      <xdr:rowOff>152400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4182C26A-6C0A-4E12-9C80-56E7297E3156}"/>
            </a:ext>
          </a:extLst>
        </xdr:cNvPr>
        <xdr:cNvGrpSpPr/>
      </xdr:nvGrpSpPr>
      <xdr:grpSpPr>
        <a:xfrm>
          <a:off x="790575" y="3524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B0357E29-C5F2-679D-CED2-2C32990F5F7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27C1B6F3-1154-AD04-9E0C-DCA9B49AA58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575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entrados en hoteles y apartamentos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9AF0EE4-D5C7-4052-8E80-8A96A4D5D0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CF24175-8060-4712-B663-B79E91869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EFCCC64-11C0-4F84-A0F1-58C38BC29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74949D2-3A05-4139-BD42-5966870A96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1E6536A-A7AD-4FD1-AE0A-ACC8035C55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B4D95714-67D0-4632-8594-26693C5977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F07DCC2-BE00-44AE-8B30-89E5E4203D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A7F63345-18B3-4F05-9CCD-FBED92219B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619124</xdr:colOff>
      <xdr:row>134</xdr:row>
      <xdr:rowOff>95251</xdr:rowOff>
    </xdr:from>
    <xdr:to>
      <xdr:col>24</xdr:col>
      <xdr:colOff>0</xdr:colOff>
      <xdr:row>154</xdr:row>
      <xdr:rowOff>38101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91B14E54-5A16-4F21-B3CA-93577CEC06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41D8E7CA-42E8-41D2-81CD-6437CB9295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74332DA1-F211-42C1-A5D7-030D949C3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A4FB3A10-5C5A-498C-9178-FBC468856B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257FD423-D7C1-4D0B-A469-E421BA09AE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CCA62FF4-DCAC-4698-8AD2-D37C56EB66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54984522-BF49-49A2-84A6-CE6A204298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Viajeros entr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españoles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peninsulares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canarios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extranjeros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británicos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0.12237</cdr:y>
    </cdr:to>
    <cdr:sp macro="" textlink="'Viajeros entr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9479"/>
          <a:ext cx="8829676" cy="59012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alemanes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franceses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holandeses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belgas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daneses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suecos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1000095-C9BE-4235-AA83-3DA31E7B6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E52B76-40B6-470C-9276-5CA41E036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4DF5022-E112-45EC-81AC-DAEB278018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4319BB7-3F92-48F1-97E4-6068441CD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104775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76A04BB-3482-42D2-A8A1-09E7548753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DA22350-E9C4-4FDB-AE72-34BBBEAF29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E696E6E-F420-48CB-ADDE-EB5398557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6C71A37-B60C-4EEB-BBC9-500E0A1A7C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2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Santa Cruz de Tenerife</a:t>
          </a:fld>
          <a:endParaRPr lang="es-ES" sz="1100"/>
        </a:p>
      </cdr:txBody>
    </cdr:sp>
  </cdr:relSizeAnchor>
</c:userShapes>
</file>

<file path=xl/drawings/drawing26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4, 5 estrellas Santa Cruz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2020 no se publicó la desagregación por categorías en las Islas</a:t>
          </a:r>
        </a:p>
      </cdr:txBody>
    </cdr:sp>
  </cdr:relSizeAnchor>
</c:userShapes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mensu TF cat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Viajeros entrados en los hoteles de 1, 2, 3 estrellas Santa Cruz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0.91106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1E746101-EB15-832B-6A67-4574788CA446}"/>
            </a:ext>
          </a:extLst>
        </cdr:cNvPr>
        <cdr:cNvSpPr txBox="1"/>
      </cdr:nvSpPr>
      <cdr:spPr>
        <a:xfrm xmlns:a="http://schemas.openxmlformats.org/drawingml/2006/main">
          <a:off x="0" y="4000488"/>
          <a:ext cx="4268009" cy="3905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2020 no se publicó la desagregación por categorías en las Islas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428624</xdr:colOff>
      <xdr:row>2</xdr:row>
      <xdr:rowOff>114299</xdr:rowOff>
    </xdr:from>
    <xdr:to>
      <xdr:col>15</xdr:col>
      <xdr:colOff>326624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7D17B46-ADCC-41EC-A228-036B8F1628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69BF6E5-829B-4E7D-A834-133F9980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6B1550C-ADE2-4EA8-BB5F-BA6671D3BF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  <xdr:twoCellAnchor>
    <xdr:from>
      <xdr:col>4</xdr:col>
      <xdr:colOff>323850</xdr:colOff>
      <xdr:row>26</xdr:row>
      <xdr:rowOff>76200</xdr:rowOff>
    </xdr:from>
    <xdr:to>
      <xdr:col>15</xdr:col>
      <xdr:colOff>221850</xdr:colOff>
      <xdr:row>47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59A0093-5435-4557-A2ED-02582A00DB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676275</xdr:colOff>
      <xdr:row>48</xdr:row>
      <xdr:rowOff>142875</xdr:rowOff>
    </xdr:from>
    <xdr:to>
      <xdr:col>15</xdr:col>
      <xdr:colOff>574275</xdr:colOff>
      <xdr:row>70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21DD155-2576-4CE0-84A3-126B8CE731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establecimientos alojativos de Santa Cruz de Tenerife 
(hotel + apartamento)</a:t>
          </a:fld>
          <a:endParaRPr lang="es-ES" sz="1100"/>
        </a:p>
      </cdr:txBody>
    </cdr:sp>
  </cdr:relSizeAnchor>
</c:userShapes>
</file>

<file path=xl/drawings/drawing30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27:$D$27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hoteles de Santa Cruz de Tenerife</a:t>
          </a:fld>
          <a:endParaRPr lang="es-ES" sz="1100"/>
        </a:p>
      </cdr:txBody>
    </cdr:sp>
  </cdr:relSizeAnchor>
</c:userShapes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Viajeros entr evol anual TF cat'!$B$50:$D$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entrados en los hoteles de 4, 5 estrellas de Santa Cruz de Tenerife</a:t>
          </a:fld>
          <a:endParaRPr lang="es-ES" sz="1100"/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762000</xdr:colOff>
      <xdr:row>2</xdr:row>
      <xdr:rowOff>371475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CC3C93D-C42F-45C0-A1E5-3D34F07D1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940EF8C-E70F-4427-B6EB-F7EDE30E60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1F4D385-7E07-4D5A-9EED-036656740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890090-B012-40F4-B10B-A2E06047B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396875</xdr:colOff>
      <xdr:row>2</xdr:row>
      <xdr:rowOff>95250</xdr:rowOff>
    </xdr:from>
    <xdr:to>
      <xdr:col>36</xdr:col>
      <xdr:colOff>590550</xdr:colOff>
      <xdr:row>26</xdr:row>
      <xdr:rowOff>133350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AE935692-A126-4D6E-9EFE-B808908742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4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0.94907</cdr:x>
      <cdr:y>0.0919</cdr:y>
    </cdr:to>
    <cdr:sp macro="" textlink="'viaj entrados lugar resid años '!$N$3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50902" y="53158"/>
          <a:ext cx="9534423" cy="4589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8893662F-1A51-4D1E-BD6E-6B892393596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Santa Cruz de Tenerife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762000</xdr:colOff>
      <xdr:row>5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0317FD4-3565-46EE-8C5B-FDC83D1DC4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20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514350</xdr:colOff>
      <xdr:row>3</xdr:row>
      <xdr:rowOff>38100</xdr:rowOff>
    </xdr:from>
    <xdr:to>
      <xdr:col>31</xdr:col>
      <xdr:colOff>186690</xdr:colOff>
      <xdr:row>26</xdr:row>
      <xdr:rowOff>15240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AEA89BA6-8A7F-401A-9F24-BCF9BCB4A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6E41AFF-C937-489E-90F0-68A3E294FC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cia'!$M$6:$T$6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E6B25C01-D8B5-45F5-AEF0-E4EBE0EDCB7F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Santa Cruz de Tenerife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4DA2AD-E8F4-4E84-8B57-1D49E5690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77EF292-0315-40E9-8345-F4BC8FFA5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25</xdr:col>
      <xdr:colOff>133350</xdr:colOff>
      <xdr:row>3</xdr:row>
      <xdr:rowOff>285750</xdr:rowOff>
    </xdr:from>
    <xdr:to>
      <xdr:col>37</xdr:col>
      <xdr:colOff>567690</xdr:colOff>
      <xdr:row>27</xdr:row>
      <xdr:rowOff>72390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556411D7-01DE-465F-BE4D-52C330CB15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acu'!$P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establecimientos alojativos de Santa Cruz de Tenerife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2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9A8807E-F0E1-4281-90A0-668B68D50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AD0586C-625B-4B41-9B23-1B5183F81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23</xdr:col>
      <xdr:colOff>561975</xdr:colOff>
      <xdr:row>3</xdr:row>
      <xdr:rowOff>257175</xdr:rowOff>
    </xdr:from>
    <xdr:to>
      <xdr:col>36</xdr:col>
      <xdr:colOff>434340</xdr:colOff>
      <xdr:row>27</xdr:row>
      <xdr:rowOff>43815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31DF585C-C558-4493-9457-1F1A520FF3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0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0768"/>
          <a:ext cx="8033258" cy="1998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entrados lugar residen hot'!$N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80BF2DB-21EF-4E40-A211-5A420E4ABD32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entrados en los hoteles de Santa Cruz de Tenerife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9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71B2AE8-362A-429F-A468-C90A067B3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86CE3D-22D8-4BF7-947E-59826AB24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9525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AEEB1D2-2085-4F39-A9DC-B59D899DC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858520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1F6F0F-DA2C-4FBD-8B34-FCAB0B471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6745" cy="514631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4744FB1-9A16-4F90-A5D1-EA4CE18DC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4C90235-307E-4971-8C7E-399346D30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695325</xdr:colOff>
      <xdr:row>2</xdr:row>
      <xdr:rowOff>28575</xdr:rowOff>
    </xdr:from>
    <xdr:to>
      <xdr:col>11</xdr:col>
      <xdr:colOff>85725</xdr:colOff>
      <xdr:row>25</xdr:row>
      <xdr:rowOff>19050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6835E989-05B6-4EA6-9D96-05920CE6743E}"/>
            </a:ext>
          </a:extLst>
        </xdr:cNvPr>
        <xdr:cNvGrpSpPr/>
      </xdr:nvGrpSpPr>
      <xdr:grpSpPr>
        <a:xfrm>
          <a:off x="695325" y="40957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C4BAE099-B0BC-E05B-6FFD-52FB0E47549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13084A7B-CF63-DB43-9C50-4D29D32B273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alojados en hoteles y apartamentos</a:t>
            </a:r>
          </a:p>
        </xdr:txBody>
      </xdr:sp>
    </xdr:grp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438150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053EA2F-C397-4956-B46C-C193BD871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853440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782912-9632-4B24-914F-FE92F7FD6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1665" cy="514631"/>
        </a:xfrm>
        <a:prstGeom prst="rect">
          <a:avLst/>
        </a:prstGeom>
      </xdr:spPr>
    </xdr:pic>
    <xdr:clientData/>
  </xdr:twoCellAnchor>
  <xdr:twoCellAnchor editAs="oneCell">
    <xdr:from>
      <xdr:col>18</xdr:col>
      <xdr:colOff>695325</xdr:colOff>
      <xdr:row>2</xdr:row>
      <xdr:rowOff>38100</xdr:rowOff>
    </xdr:from>
    <xdr:to>
      <xdr:col>31</xdr:col>
      <xdr:colOff>367665</xdr:colOff>
      <xdr:row>25</xdr:row>
      <xdr:rowOff>15240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959A752A-C3DE-4E13-8491-23251E6B08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6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 lugar residen mes'!$K$5:$R$5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0CE42E48-A969-4C58-9403-3DC7E77104E1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Santa Cruz de Tenerife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8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0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11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EBA6B1-C47E-4263-9CC5-8397CC52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337A357-5D21-4445-9DB0-A8936F5DC2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  <xdr:twoCellAnchor editAs="oneCell">
    <xdr:from>
      <xdr:col>24</xdr:col>
      <xdr:colOff>190499</xdr:colOff>
      <xdr:row>1</xdr:row>
      <xdr:rowOff>28575</xdr:rowOff>
    </xdr:from>
    <xdr:to>
      <xdr:col>37</xdr:col>
      <xdr:colOff>28575</xdr:colOff>
      <xdr:row>24</xdr:row>
      <xdr:rowOff>5715</xdr:rowOff>
    </xdr:to>
    <xdr:graphicFrame macro="">
      <xdr:nvGraphicFramePr>
        <xdr:cNvPr id="4" name="Chart 4">
          <a:extLst>
            <a:ext uri="{FF2B5EF4-FFF2-40B4-BE49-F238E27FC236}">
              <a16:creationId xmlns:a16="http://schemas.microsoft.com/office/drawing/2014/main" id="{3B5455FD-C56E-4FDA-83D0-6953C71BD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8.xml><?xml version="1.0" encoding="utf-8"?>
<c:userShapes xmlns:c="http://schemas.openxmlformats.org/drawingml/2006/chart">
  <cdr:relSizeAnchor xmlns:cdr="http://schemas.openxmlformats.org/drawingml/2006/chartDrawing">
    <cdr:from>
      <cdr:x>0</cdr:x>
      <cdr:y>0.96243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8F47768F-2D97-4B38-8D0E-DE4F36FD9686}"/>
            </a:ext>
          </a:extLst>
        </cdr:cNvPr>
        <cdr:cNvSpPr txBox="1"/>
      </cdr:nvSpPr>
      <cdr:spPr>
        <a:xfrm xmlns:a="http://schemas.openxmlformats.org/drawingml/2006/main">
          <a:off x="0" y="5124449"/>
          <a:ext cx="4809090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5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0.00504</cdr:x>
      <cdr:y>0.00954</cdr:y>
    </cdr:from>
    <cdr:to>
      <cdr:x>1</cdr:x>
      <cdr:y>0.0919</cdr:y>
    </cdr:to>
    <cdr:sp macro="" textlink="'viaj alojados lugar residen acu'!$O$4:$X$4">
      <cdr:nvSpPr>
        <cdr:cNvPr id="6" name="CuadroTexto 1">
          <a:extLst xmlns:a="http://schemas.openxmlformats.org/drawingml/2006/main">
            <a:ext uri="{FF2B5EF4-FFF2-40B4-BE49-F238E27FC236}">
              <a16:creationId xmlns:a16="http://schemas.microsoft.com/office/drawing/2014/main" id="{761AC79D-492E-4E44-904A-C25A6874EB05}"/>
            </a:ext>
          </a:extLst>
        </cdr:cNvPr>
        <cdr:cNvSpPr txBox="1"/>
      </cdr:nvSpPr>
      <cdr:spPr>
        <a:xfrm xmlns:a="http://schemas.openxmlformats.org/drawingml/2006/main">
          <a:off x="48275" y="50759"/>
          <a:ext cx="9530065" cy="43821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fld id="{2187FA05-E7EC-492D-8F75-A46E8AF659B7}" type="TxLink">
            <a:rPr lang="en-US" sz="1600" b="1" i="0" u="none" strike="noStrike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/>
            <a:t>Viajeros alojados en los establecimientos alojativos de Santa Cruz de Tenerife según lugar de residencia (hotel + apartamento)</a:t>
          </a:fld>
          <a:endParaRPr lang="es-ES" sz="3600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</cdr:x>
      <cdr:y>0.00351</cdr:y>
    </cdr:from>
    <cdr:to>
      <cdr:x>0.89879</cdr:x>
      <cdr:y>0.05542</cdr:y>
    </cdr:to>
    <cdr:sp macro="" textlink="">
      <cdr:nvSpPr>
        <cdr:cNvPr id="7" name="CuadroTexto 1">
          <a:extLst xmlns:a="http://schemas.openxmlformats.org/drawingml/2006/main">
            <a:ext uri="{FF2B5EF4-FFF2-40B4-BE49-F238E27FC236}">
              <a16:creationId xmlns:a16="http://schemas.microsoft.com/office/drawing/2014/main" id="{2C4D52B6-B7D7-46DB-B106-71FBA4585409}"/>
            </a:ext>
          </a:extLst>
        </cdr:cNvPr>
        <cdr:cNvSpPr txBox="1"/>
      </cdr:nvSpPr>
      <cdr:spPr>
        <a:xfrm xmlns:a="http://schemas.openxmlformats.org/drawingml/2006/main">
          <a:off x="0" y="23813"/>
          <a:ext cx="5638800" cy="3524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</xdr:colOff>
      <xdr:row>2</xdr:row>
      <xdr:rowOff>57150</xdr:rowOff>
    </xdr:from>
    <xdr:to>
      <xdr:col>11</xdr:col>
      <xdr:colOff>190500</xdr:colOff>
      <xdr:row>25</xdr:row>
      <xdr:rowOff>47625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148D3F5C-17AF-4B7B-B6F5-D534ADA41100}"/>
            </a:ext>
          </a:extLst>
        </xdr:cNvPr>
        <xdr:cNvGrpSpPr/>
      </xdr:nvGrpSpPr>
      <xdr:grpSpPr>
        <a:xfrm>
          <a:off x="800100" y="43815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5E59F6C4-6A8B-0051-5D88-7C7DDB8D1A0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DE50005A-0F1E-F2DB-389E-6EE7894BE29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765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Pernoctaciones en hoteles y apartamentos</a:t>
            </a:r>
          </a:p>
        </xdr:txBody>
      </xdr:sp>
    </xdr:grp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B0FA5CF-9544-4F3D-B55A-2E2D8001D1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849630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9550ECD-4EB6-4683-9B96-7689E183D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390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102870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C566844-3CDE-4C04-9168-FCBF677A5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4045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2976840-3F1E-4041-AED6-98180FE21E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7BF12E8-C4CD-4EB8-AA39-28C9265CDC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93C5599-9BB6-4624-A973-D3839A43F8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0F93EE1-6C2D-433C-8370-645853D3DE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85D664C5-5E93-4003-A4E6-8A16EDE076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38100</xdr:colOff>
      <xdr:row>135</xdr:row>
      <xdr:rowOff>0</xdr:rowOff>
    </xdr:from>
    <xdr:to>
      <xdr:col>23</xdr:col>
      <xdr:colOff>698100</xdr:colOff>
      <xdr:row>155</xdr:row>
      <xdr:rowOff>104776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956F4363-0868-4D1B-918F-00032C7592D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38100</xdr:colOff>
      <xdr:row>156</xdr:row>
      <xdr:rowOff>171450</xdr:rowOff>
    </xdr:from>
    <xdr:to>
      <xdr:col>23</xdr:col>
      <xdr:colOff>698100</xdr:colOff>
      <xdr:row>177</xdr:row>
      <xdr:rowOff>85726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18A587C0-3CED-4D07-842E-1EB5240B49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C0396575-5C3D-4B60-AC43-E87CEDABBF5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AF4FCFE7-1F2B-49BA-885E-BF05225B08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19050</xdr:colOff>
      <xdr:row>223</xdr:row>
      <xdr:rowOff>0</xdr:rowOff>
    </xdr:from>
    <xdr:to>
      <xdr:col>23</xdr:col>
      <xdr:colOff>679050</xdr:colOff>
      <xdr:row>243</xdr:row>
      <xdr:rowOff>66676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4DD4DC2-7CF9-4734-B5E6-270E49E353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249</xdr:row>
      <xdr:rowOff>0</xdr:rowOff>
    </xdr:from>
    <xdr:to>
      <xdr:col>23</xdr:col>
      <xdr:colOff>660000</xdr:colOff>
      <xdr:row>269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3757B107-8201-4AEA-8C13-7F606D7559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</xdr:wsDr>
</file>

<file path=xl/drawings/drawing5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5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españoles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5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Península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5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Canarias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5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Total residentes en el extranjero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5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Reino Unido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5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Alemania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5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Francia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59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Bélgica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6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Países Bajos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6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99087FA-C4E9-4D1C-A811-CCBF4BDBA11C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Dinamarca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6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ciones evol mensu TF'!$B$250:$L$25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2BE389B-CCFC-40C6-BAAE-B88837C1348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procedentes de Suecia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78EF57F-B790-4E8F-BB49-225B3F6497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A06F21C-A9CB-4FF3-9E31-56620FF0B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2AEDD2A-7C73-4936-B534-9EF3D7F9E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1E5C5D2D-310E-4AC1-B980-7A88B2372C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824C6E0-2EEC-4EBB-8D7D-77B90E28B1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AF66036-5729-4A8C-88F4-2C6FCD93A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6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65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Santa Cruz de Tenerife</a:t>
          </a:fld>
          <a:endParaRPr lang="es-ES" sz="1100"/>
        </a:p>
      </cdr:txBody>
    </cdr:sp>
  </cdr:relSizeAnchor>
</c:userShapes>
</file>

<file path=xl/drawings/drawing66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4 y 5 estrellas de Santa Cruz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2022 no se publicó la desagregación por categorías en las Islas</a:t>
          </a:r>
        </a:p>
      </cdr:txBody>
    </cdr:sp>
  </cdr:relSizeAnchor>
</c:userShapes>
</file>

<file path=xl/drawings/drawing6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Pernocta evol mensu TF cat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Pernoctaciones realizadas por los turistas en los hoteles de 1, 2 y 3 estrellas de Santa Cruz de Tenerife</a:t>
          </a:fld>
          <a:endParaRPr lang="es-ES" sz="1100"/>
        </a:p>
      </cdr:txBody>
    </cdr:sp>
  </cdr:relSizeAnchor>
</c:userShapes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802B08-5ED7-4ABC-B3AC-799FA921F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7858E15-196D-4DB4-A8D9-26052F525A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5715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249AD3F-AACB-4EE7-B454-B23381DBF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F4F0712-E1A9-4C1B-BE40-681DF1F08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5</xdr:row>
      <xdr:rowOff>15240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ED3FF9D-4F16-4B7F-875E-65707A76C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8153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854710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749D274-F76A-4736-A464-34F19D087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2935" cy="510821"/>
        </a:xfrm>
        <a:prstGeom prst="rect">
          <a:avLst/>
        </a:prstGeom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3</xdr:row>
      <xdr:rowOff>0</xdr:rowOff>
    </xdr:from>
    <xdr:to>
      <xdr:col>11</xdr:col>
      <xdr:colOff>161925</xdr:colOff>
      <xdr:row>25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E65F20F-2B97-46D7-832C-5A362AA05D33}"/>
            </a:ext>
          </a:extLst>
        </xdr:cNvPr>
        <xdr:cNvGrpSpPr/>
      </xdr:nvGrpSpPr>
      <xdr:grpSpPr>
        <a:xfrm>
          <a:off x="771525" y="5715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E3C81723-02B9-5553-1279-DD4527E4C74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9C681C46-CCA8-6326-0DB7-5550ABB04D1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Estancia media en hoteles y apartamentos</a:t>
            </a:r>
          </a:p>
        </xdr:txBody>
      </xdr:sp>
    </xdr:grpSp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428624</xdr:colOff>
      <xdr:row>2</xdr:row>
      <xdr:rowOff>114299</xdr:rowOff>
    </xdr:from>
    <xdr:to>
      <xdr:col>23</xdr:col>
      <xdr:colOff>326624</xdr:colOff>
      <xdr:row>23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698114C-C389-4010-AF36-652F6C080E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857250</xdr:colOff>
      <xdr:row>4</xdr:row>
      <xdr:rowOff>91440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5298DD7-DD6A-4797-AB55-4D2D0223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71525" cy="662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129821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30C76FD-E528-4AF9-8433-585BC0672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323850</xdr:colOff>
      <xdr:row>25</xdr:row>
      <xdr:rowOff>76200</xdr:rowOff>
    </xdr:from>
    <xdr:to>
      <xdr:col>23</xdr:col>
      <xdr:colOff>221850</xdr:colOff>
      <xdr:row>45</xdr:row>
      <xdr:rowOff>180976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F543952-5954-4A44-8C80-5D2215E1BA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24</xdr:col>
      <xdr:colOff>9525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C5D843B8-0CAC-4B75-80EE-958F0BA14C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CAF18C26-0F24-405B-9972-2CCECBB575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13</xdr:col>
      <xdr:colOff>57150</xdr:colOff>
      <xdr:row>90</xdr:row>
      <xdr:rowOff>76200</xdr:rowOff>
    </xdr:from>
    <xdr:to>
      <xdr:col>23</xdr:col>
      <xdr:colOff>717150</xdr:colOff>
      <xdr:row>110</xdr:row>
      <xdr:rowOff>180976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573851B9-EBF6-4F2E-882A-F576D72F47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76200</xdr:colOff>
      <xdr:row>112</xdr:row>
      <xdr:rowOff>180975</xdr:rowOff>
    </xdr:from>
    <xdr:to>
      <xdr:col>23</xdr:col>
      <xdr:colOff>736200</xdr:colOff>
      <xdr:row>133</xdr:row>
      <xdr:rowOff>95251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C00616D2-3FF3-4705-8A13-49CEB9F857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285749</xdr:colOff>
      <xdr:row>134</xdr:row>
      <xdr:rowOff>66676</xdr:rowOff>
    </xdr:from>
    <xdr:to>
      <xdr:col>24</xdr:col>
      <xdr:colOff>28575</xdr:colOff>
      <xdr:row>154</xdr:row>
      <xdr:rowOff>9526</xdr:rowOff>
    </xdr:to>
    <xdr:graphicFrame macro="">
      <xdr:nvGraphicFramePr>
        <xdr:cNvPr id="10" name="Gráfico 40">
          <a:extLst>
            <a:ext uri="{FF2B5EF4-FFF2-40B4-BE49-F238E27FC236}">
              <a16:creationId xmlns:a16="http://schemas.microsoft.com/office/drawing/2014/main" id="{81D83C3F-2EDA-4A2D-8D46-C0EAA4EF7A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0</xdr:colOff>
      <xdr:row>157</xdr:row>
      <xdr:rowOff>323850</xdr:rowOff>
    </xdr:from>
    <xdr:to>
      <xdr:col>23</xdr:col>
      <xdr:colOff>664762</xdr:colOff>
      <xdr:row>179</xdr:row>
      <xdr:rowOff>57151</xdr:rowOff>
    </xdr:to>
    <xdr:graphicFrame macro="">
      <xdr:nvGraphicFramePr>
        <xdr:cNvPr id="11" name="Gráfico 41">
          <a:extLst>
            <a:ext uri="{FF2B5EF4-FFF2-40B4-BE49-F238E27FC236}">
              <a16:creationId xmlns:a16="http://schemas.microsoft.com/office/drawing/2014/main" id="{3D8FF7F8-D78B-40CE-9098-4E0E6EC1BD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12</xdr:col>
      <xdr:colOff>752475</xdr:colOff>
      <xdr:row>179</xdr:row>
      <xdr:rowOff>104775</xdr:rowOff>
    </xdr:from>
    <xdr:to>
      <xdr:col>23</xdr:col>
      <xdr:colOff>650475</xdr:colOff>
      <xdr:row>200</xdr:row>
      <xdr:rowOff>19051</xdr:rowOff>
    </xdr:to>
    <xdr:graphicFrame macro="">
      <xdr:nvGraphicFramePr>
        <xdr:cNvPr id="12" name="Gráfico 43">
          <a:extLst>
            <a:ext uri="{FF2B5EF4-FFF2-40B4-BE49-F238E27FC236}">
              <a16:creationId xmlns:a16="http://schemas.microsoft.com/office/drawing/2014/main" id="{44752FFD-E1A9-450D-9A4A-7762C00459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12</xdr:col>
      <xdr:colOff>609600</xdr:colOff>
      <xdr:row>201</xdr:row>
      <xdr:rowOff>0</xdr:rowOff>
    </xdr:from>
    <xdr:to>
      <xdr:col>23</xdr:col>
      <xdr:colOff>507600</xdr:colOff>
      <xdr:row>221</xdr:row>
      <xdr:rowOff>104776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EF2BAA2F-5D49-4BEC-AF62-C15E1033EA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0</xdr:colOff>
      <xdr:row>223</xdr:row>
      <xdr:rowOff>0</xdr:rowOff>
    </xdr:from>
    <xdr:to>
      <xdr:col>23</xdr:col>
      <xdr:colOff>660000</xdr:colOff>
      <xdr:row>243</xdr:row>
      <xdr:rowOff>104776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5FA9E34D-2A12-44CE-A6E8-975B9D4A36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13</xdr:col>
      <xdr:colOff>0</xdr:colOff>
      <xdr:row>245</xdr:row>
      <xdr:rowOff>0</xdr:rowOff>
    </xdr:from>
    <xdr:to>
      <xdr:col>23</xdr:col>
      <xdr:colOff>660000</xdr:colOff>
      <xdr:row>265</xdr:row>
      <xdr:rowOff>104776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3CFA6397-4398-42F9-9F8E-FF3614F62F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13</xdr:col>
      <xdr:colOff>0</xdr:colOff>
      <xdr:row>267</xdr:row>
      <xdr:rowOff>0</xdr:rowOff>
    </xdr:from>
    <xdr:to>
      <xdr:col>23</xdr:col>
      <xdr:colOff>660000</xdr:colOff>
      <xdr:row>287</xdr:row>
      <xdr:rowOff>104776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4A79CF86-294E-482C-B9DD-FD2D887D77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</xdr:wsDr>
</file>

<file path=xl/drawings/drawing7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0.00373</cdr:x>
      <cdr:y>0.00391</cdr:y>
    </cdr:from>
    <cdr:to>
      <cdr:x>0.97796</cdr:x>
      <cdr:y>0.1721</cdr:y>
    </cdr:to>
    <cdr:sp macro="" textlink="'EM evol menusual lugar resd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2657" y="16690"/>
          <a:ext cx="8533252" cy="71793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Santa Cruz de Tenerife
(hotel + apartamento)</a:t>
          </a:fld>
          <a:endParaRPr lang="es-ES" sz="1100"/>
        </a:p>
      </cdr:txBody>
    </cdr:sp>
  </cdr:relSizeAnchor>
</c:userShapes>
</file>

<file path=xl/drawings/drawing7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0.99276</cdr:x>
      <cdr:y>0.1721</cdr:y>
    </cdr:to>
    <cdr:sp macro="" textlink="'EM evol menusual lugar resd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00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españoles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7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0.99736</cdr:x>
      <cdr:y>0.1721</cdr:y>
    </cdr:to>
    <cdr:sp macro="" textlink="'EM evol menusual lugar resd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5817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peninsulares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7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canarios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7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92:$L$9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9F9576AC-CD66-4AF4-9D7A-6723A4F689D7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extranjeros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7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0.99046</cdr:x>
      <cdr:y>0.1721</cdr:y>
    </cdr:to>
    <cdr:sp macro="" textlink="'EM evol menusual lugar resd'!$B$114:$L$11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01024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B6ED3218-5B10-4EC9-977D-8A66ABDC718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británicos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79.xml><?xml version="1.0" encoding="utf-8"?>
<c:userShapes xmlns:c="http://schemas.openxmlformats.org/drawingml/2006/chart">
  <cdr:relSizeAnchor xmlns:cdr="http://schemas.openxmlformats.org/drawingml/2006/chartDrawing">
    <cdr:from>
      <cdr:x>0.00108</cdr:x>
      <cdr:y>0.96197</cdr:y>
    </cdr:from>
    <cdr:to>
      <cdr:x>0.51654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9525" y="4315662"/>
          <a:ext cx="4565049" cy="1706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0.9957</cdr:x>
      <cdr:y>0.14865</cdr:y>
    </cdr:to>
    <cdr:sp macro="" textlink="'EM evol menusual lugar resd'!$B$136:$L$13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6536"/>
          <a:ext cx="7729496" cy="6121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4CF804C-98B5-4600-8BB0-DA6FB75388B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alemanes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8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58:$L$15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08BB515-8B29-48C5-AF78-38E1E42120A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franceses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81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180:$L$18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4E311B4-E254-490A-B2D1-DB87BC6D349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8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0.99391</cdr:x>
      <cdr:y>0.1721</cdr:y>
    </cdr:to>
    <cdr:sp macro="" textlink="'EM evol menusual lugar resd'!$B$202:$L$202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7169"/>
          <a:ext cx="8229600" cy="7385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12D9C39B-0038-4808-B660-1FFFBD54799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holandeses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8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24:$L$22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AF6DB970-8AF5-4ACF-8E05-A57BF76B1B5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belgas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84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46:$L$24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E52BDA80-C0F4-4A01-9A5D-806E76A2736B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daneses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8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usual lugar resd'!$B$268:$L$26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3FEDF55F-EC40-4CCB-8271-796B623DE44D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de los viajeros suecos entrados en los establecimientos alojativos de Santa Cruz de Tenerife (hotel + apartamento)</a:t>
          </a:fld>
          <a:endParaRPr lang="es-ES" sz="1100"/>
        </a:p>
      </cdr:txBody>
    </cdr:sp>
  </cdr:relSizeAnchor>
</c:userShapes>
</file>

<file path=xl/drawings/drawing8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409574</xdr:colOff>
      <xdr:row>2</xdr:row>
      <xdr:rowOff>142874</xdr:rowOff>
    </xdr:from>
    <xdr:to>
      <xdr:col>23</xdr:col>
      <xdr:colOff>307574</xdr:colOff>
      <xdr:row>23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5C56B10-107F-4327-ABB0-B9B45147BA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853440</xdr:colOff>
      <xdr:row>4</xdr:row>
      <xdr:rowOff>95250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09D0A0-1E92-46F5-94EF-13F4C02F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7715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93345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0FB4B37-2967-4BC6-8A18-CDFDE4011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4520" cy="514631"/>
        </a:xfrm>
        <a:prstGeom prst="rect">
          <a:avLst/>
        </a:prstGeom>
      </xdr:spPr>
    </xdr:pic>
    <xdr:clientData/>
  </xdr:twoCellAnchor>
  <xdr:twoCellAnchor>
    <xdr:from>
      <xdr:col>12</xdr:col>
      <xdr:colOff>342900</xdr:colOff>
      <xdr:row>25</xdr:row>
      <xdr:rowOff>114300</xdr:rowOff>
    </xdr:from>
    <xdr:to>
      <xdr:col>23</xdr:col>
      <xdr:colOff>240900</xdr:colOff>
      <xdr:row>46</xdr:row>
      <xdr:rowOff>28576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E1A6CA3-A3C1-41FE-A4DF-D18F5BE9CEB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676275</xdr:colOff>
      <xdr:row>46</xdr:row>
      <xdr:rowOff>142875</xdr:rowOff>
    </xdr:from>
    <xdr:to>
      <xdr:col>23</xdr:col>
      <xdr:colOff>574275</xdr:colOff>
      <xdr:row>67</xdr:row>
      <xdr:rowOff>57151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B6867B13-BB05-4FD5-A775-D6193BEE788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13</xdr:col>
      <xdr:colOff>0</xdr:colOff>
      <xdr:row>69</xdr:row>
      <xdr:rowOff>0</xdr:rowOff>
    </xdr:from>
    <xdr:to>
      <xdr:col>23</xdr:col>
      <xdr:colOff>660000</xdr:colOff>
      <xdr:row>89</xdr:row>
      <xdr:rowOff>104776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5E1AB618-C6E9-421A-B4BA-A3DDA22081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87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establecimientos alojativos de Santa Cruz de Tenerife
(hotel + apartamento)</a:t>
          </a:fld>
          <a:endParaRPr lang="es-ES" sz="1100"/>
        </a:p>
      </cdr:txBody>
    </cdr:sp>
  </cdr:relSizeAnchor>
</c:userShapes>
</file>

<file path=xl/drawings/drawing88.xml><?xml version="1.0" encoding="utf-8"?>
<c:userShapes xmlns:c="http://schemas.openxmlformats.org/drawingml/2006/chart">
  <cdr:relSizeAnchor xmlns:cdr="http://schemas.openxmlformats.org/drawingml/2006/chartDrawing">
    <cdr:from>
      <cdr:x>0</cdr:x>
      <cdr:y>0.95879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210050"/>
          <a:ext cx="4268009" cy="1809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06534CD3-0E35-499D-900B-14E52B15F8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Santa Cruz de Tenerife</a:t>
          </a:fld>
          <a:endParaRPr lang="es-ES" sz="1100"/>
        </a:p>
      </cdr:txBody>
    </cdr:sp>
  </cdr:relSizeAnchor>
</c:userShapes>
</file>

<file path=xl/drawings/drawing89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FE984419-F83A-4677-BE35-1CEB722A3034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4, 5 estrellas de Santa Cruz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0.01304</cdr:x>
      <cdr:y>0.91106</cdr:y>
    </cdr:from>
    <cdr:to>
      <cdr:x>0.5285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3D3C7B1-03F3-939E-B177-216861D69B8A}"/>
            </a:ext>
          </a:extLst>
        </cdr:cNvPr>
        <cdr:cNvSpPr txBox="1"/>
      </cdr:nvSpPr>
      <cdr:spPr>
        <a:xfrm xmlns:a="http://schemas.openxmlformats.org/drawingml/2006/main">
          <a:off x="107950" y="4000501"/>
          <a:ext cx="4268009" cy="3905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* en el año 2022 no se publicó la desagregación por categorías en las Islas</a:t>
          </a:r>
        </a:p>
      </cdr:txBody>
    </cdr:sp>
  </cdr:relSizeAnchor>
</c:userShapes>
</file>

<file path=xl/drawings/drawing9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M evol mensu TF cat '!$B$70:$L$70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579BBB21-4CAE-40D4-95AF-C9648D5980DA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Estancia Media en los hoteles de 1, 2, 3 Estrellas de Santa Cruz de Tenerife</a:t>
          </a:fld>
          <a:endParaRPr lang="es-ES" sz="1100"/>
        </a:p>
      </cdr:txBody>
    </cdr:sp>
  </cdr:relSizeAnchor>
</c:userShapes>
</file>

<file path=xl/drawings/drawing9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457200</xdr:colOff>
      <xdr:row>1</xdr:row>
      <xdr:rowOff>123825</xdr:rowOff>
    </xdr:from>
    <xdr:to>
      <xdr:col>10</xdr:col>
      <xdr:colOff>609600</xdr:colOff>
      <xdr:row>24</xdr:row>
      <xdr:rowOff>114300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BC3051B1-6238-4364-A4C5-88241CE37229}"/>
            </a:ext>
          </a:extLst>
        </xdr:cNvPr>
        <xdr:cNvGrpSpPr/>
      </xdr:nvGrpSpPr>
      <xdr:grpSpPr>
        <a:xfrm>
          <a:off x="457200" y="314325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B7DD8F6A-7BFA-ACE2-17BD-8061067596C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FB17FC0B-B287-F8EA-5725-55F8A7F534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838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Tasa de ocupación por plaza en hoteles y apartamentos</a:t>
            </a:r>
          </a:p>
        </xdr:txBody>
      </xdr:sp>
    </xdr:grpSp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704849</xdr:colOff>
      <xdr:row>3</xdr:row>
      <xdr:rowOff>104774</xdr:rowOff>
    </xdr:from>
    <xdr:to>
      <xdr:col>23</xdr:col>
      <xdr:colOff>621899</xdr:colOff>
      <xdr:row>22</xdr:row>
      <xdr:rowOff>167099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52886FD-FFB2-44C2-B710-76ABB4EAD4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228599</xdr:colOff>
      <xdr:row>69</xdr:row>
      <xdr:rowOff>419099</xdr:rowOff>
    </xdr:from>
    <xdr:to>
      <xdr:col>24</xdr:col>
      <xdr:colOff>126599</xdr:colOff>
      <xdr:row>90</xdr:row>
      <xdr:rowOff>100424</xdr:rowOff>
    </xdr:to>
    <xdr:graphicFrame macro="">
      <xdr:nvGraphicFramePr>
        <xdr:cNvPr id="4" name="Gráfico 11">
          <a:extLst>
            <a:ext uri="{FF2B5EF4-FFF2-40B4-BE49-F238E27FC236}">
              <a16:creationId xmlns:a16="http://schemas.microsoft.com/office/drawing/2014/main" id="{5DE0331A-F713-408B-9613-5F9009F435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19050</xdr:rowOff>
    </xdr:from>
    <xdr:to>
      <xdr:col>0</xdr:col>
      <xdr:colOff>857250</xdr:colOff>
      <xdr:row>4</xdr:row>
      <xdr:rowOff>59055</xdr:rowOff>
    </xdr:to>
    <xdr:pic>
      <xdr:nvPicPr>
        <xdr:cNvPr id="5" name="Imagen 4" descr="Iconos Png Gratis Resume Volver Icono Descarga Gratuita - Pump ...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609B9B7-E11E-45A9-8AB7-1179F143D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85800"/>
          <a:ext cx="771525" cy="6591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97155</xdr:colOff>
      <xdr:row>2</xdr:row>
      <xdr:rowOff>34571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B2F62AF-664B-42CF-A96C-86301121C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78330" cy="510821"/>
        </a:xfrm>
        <a:prstGeom prst="rect">
          <a:avLst/>
        </a:prstGeom>
      </xdr:spPr>
    </xdr:pic>
    <xdr:clientData/>
  </xdr:twoCellAnchor>
  <xdr:twoCellAnchor>
    <xdr:from>
      <xdr:col>12</xdr:col>
      <xdr:colOff>904875</xdr:colOff>
      <xdr:row>24</xdr:row>
      <xdr:rowOff>180975</xdr:rowOff>
    </xdr:from>
    <xdr:to>
      <xdr:col>24</xdr:col>
      <xdr:colOff>59925</xdr:colOff>
      <xdr:row>46</xdr:row>
      <xdr:rowOff>14700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F104DB42-F1E4-4666-81D4-2034CE8F17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838200</xdr:colOff>
      <xdr:row>47</xdr:row>
      <xdr:rowOff>114300</xdr:rowOff>
    </xdr:from>
    <xdr:to>
      <xdr:col>23</xdr:col>
      <xdr:colOff>755250</xdr:colOff>
      <xdr:row>68</xdr:row>
      <xdr:rowOff>138525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783DCDF-471F-4930-A6A7-1E918C5324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93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0.00447</cdr:x>
      <cdr:y>0.00849</cdr:y>
    </cdr:from>
    <cdr:to>
      <cdr:x>0.9787</cdr:x>
      <cdr:y>0.17668</cdr:y>
    </cdr:to>
    <cdr:sp macro="" textlink="'tasa de ocupación evol mens'!$B$4:$L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38100" y="35308"/>
          <a:ext cx="8307892" cy="6993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766CFC90-4DF6-4210-BB46-D250B73FFBF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establecimientos alojativos de Santa Cruz de Tenerife
(hotel + apartamento)</a:t>
          </a:fld>
          <a:endParaRPr lang="es-ES" sz="1100"/>
        </a:p>
      </cdr:txBody>
    </cdr:sp>
  </cdr:relSizeAnchor>
</c:userShapes>
</file>

<file path=xl/drawings/drawing94.xml><?xml version="1.0" encoding="utf-8"?>
<c:userShapes xmlns:c="http://schemas.openxmlformats.org/drawingml/2006/chart"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#REF!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85FA83AF-8EEE-4570-A963-F3AE91B89BED}" type="TxLink">
            <a:rPr lang="en-US" sz="1600" b="1" i="0" u="none" strike="noStrike">
              <a:solidFill>
                <a:srgbClr val="595959"/>
              </a:solidFill>
              <a:latin typeface="Calibri"/>
              <a:cs typeface="Calibri"/>
            </a:rPr>
            <a:pPr/>
            <a:t>Tasa de ocupación en los hoteles de 4 estrellas de Tenerife</a:t>
          </a:fld>
          <a:endParaRPr lang="es-ES" sz="1100"/>
        </a:p>
      </cdr:txBody>
    </cdr:sp>
  </cdr:relSizeAnchor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4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</c:userShapes>
</file>

<file path=xl/drawings/drawing95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tasa de ocupación evol mens'!$B$26:$L$26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8277B92F-191F-48A0-813B-24B2E6B2EF9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hoteles de Santa Cruz de Tenerife</a:t>
          </a:fld>
          <a:endParaRPr lang="es-ES" sz="1100"/>
        </a:p>
      </cdr:txBody>
    </cdr:sp>
  </cdr:relSizeAnchor>
</c:userShapes>
</file>

<file path=xl/drawings/drawing96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tasa de ocupación evol mens'!$B$48:$L$48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250D8823-FBC2-4B03-A811-E1EE0E7E4A13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Tasa de ocupación por plaza en los hoteles de 4, 5 estrellas de Santa Cruz de Tenerife</a:t>
          </a:fld>
          <a:endParaRPr lang="es-ES" sz="1100"/>
        </a:p>
      </cdr:txBody>
    </cdr:sp>
  </cdr:relSizeAnchor>
</c:userShapes>
</file>

<file path=xl/drawings/drawing9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63CE4FD-3C91-4212-8813-DAE2E2FBCDCE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3C53B12E-BAEF-3ACC-80D0-5C4174A5DA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E06A7305-5D1D-2367-DC58-7A202A3C6E1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Indicadores de rentabilidad alojativa</a:t>
            </a:r>
          </a:p>
        </xdr:txBody>
      </xdr:sp>
    </xdr:grpSp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66676</xdr:rowOff>
    </xdr:from>
    <xdr:to>
      <xdr:col>0</xdr:col>
      <xdr:colOff>838200</xdr:colOff>
      <xdr:row>4</xdr:row>
      <xdr:rowOff>257176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FBCF21E-EBA1-4BAE-BFF5-0803906A6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609601"/>
          <a:ext cx="7620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847725</xdr:colOff>
      <xdr:row>0</xdr:row>
      <xdr:rowOff>514631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649E305-014B-4D1F-B0F2-981BCF013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7FFADC-C77F-43BD-8E45-443CE7BFC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05693A3-A2C7-4A87-806B-FA61AE9CC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5121D4E-0521-480E-9572-5D71199BB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762000</xdr:colOff>
      <xdr:row>4</xdr:row>
      <xdr:rowOff>190500</xdr:rowOff>
    </xdr:to>
    <xdr:pic>
      <xdr:nvPicPr>
        <xdr:cNvPr id="2" name="Imagen 1" descr="Iconos Png Gratis Resume Volver Icono Descarga Gratuita - Pump ...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68E6237-C9F2-482A-A42C-567793366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34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30C1F6-8BD7-444D-AECA-64FDCAD4D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857250</xdr:colOff>
      <xdr:row>0</xdr:row>
      <xdr:rowOff>510821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55BE98D-21DE-49CD-A00B-7F0A20C2A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95475" cy="510821"/>
        </a:xfrm>
        <a:prstGeom prst="rect">
          <a:avLst/>
        </a:prstGeom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2</xdr:row>
      <xdr:rowOff>0</xdr:rowOff>
    </xdr:from>
    <xdr:to>
      <xdr:col>10</xdr:col>
      <xdr:colOff>495300</xdr:colOff>
      <xdr:row>24</xdr:row>
      <xdr:rowOff>180975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DDEC03D9-CC06-4F8E-B14D-4FF5C8A13454}"/>
            </a:ext>
          </a:extLst>
        </xdr:cNvPr>
        <xdr:cNvGrpSpPr/>
      </xdr:nvGrpSpPr>
      <xdr:grpSpPr>
        <a:xfrm>
          <a:off x="342900" y="381000"/>
          <a:ext cx="7772400" cy="4371975"/>
          <a:chOff x="9906000" y="190500"/>
          <a:chExt cx="7772400" cy="437197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CF39B994-F5DB-6A70-1CA5-90D04B2DE4C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906000" y="190500"/>
            <a:ext cx="7772400" cy="4371975"/>
          </a:xfrm>
          <a:prstGeom prst="rect">
            <a:avLst/>
          </a:prstGeom>
        </xdr:spPr>
      </xdr:pic>
      <xdr:sp macro="" textlink="">
        <xdr:nvSpPr>
          <xdr:cNvPr id="4" name="Text Box 1">
            <a:extLst>
              <a:ext uri="{FF2B5EF4-FFF2-40B4-BE49-F238E27FC236}">
                <a16:creationId xmlns:a16="http://schemas.microsoft.com/office/drawing/2014/main" id="{16180AC6-EE99-04B8-E507-DB51552E64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439399" y="1476375"/>
            <a:ext cx="6715125" cy="256222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algn="ctr" rtl="0">
              <a:defRPr sz="1000"/>
            </a:pPr>
            <a:r>
              <a:rPr lang="es-ES" sz="6000" b="0" i="0" u="none" strike="noStrike" baseline="0">
                <a:solidFill>
                  <a:schemeClr val="bg1"/>
                </a:solidFill>
                <a:latin typeface="Calibri"/>
                <a:ea typeface="Calibri"/>
                <a:cs typeface="Calibri"/>
              </a:rPr>
              <a:t>Viajeros españoles</a:t>
            </a:r>
          </a:p>
        </xdr:txBody>
      </xdr:sp>
    </xdr:grpSp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1060453</xdr:colOff>
      <xdr:row>14</xdr:row>
      <xdr:rowOff>38100</xdr:rowOff>
    </xdr:from>
    <xdr:to>
      <xdr:col>6</xdr:col>
      <xdr:colOff>705803</xdr:colOff>
      <xdr:row>35</xdr:row>
      <xdr:rowOff>120967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BD0411C8-4A26-4BFB-9FBD-FB269ABED3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7</xdr:col>
      <xdr:colOff>448944</xdr:colOff>
      <xdr:row>13</xdr:row>
      <xdr:rowOff>73025</xdr:rowOff>
    </xdr:from>
    <xdr:to>
      <xdr:col>14</xdr:col>
      <xdr:colOff>369570</xdr:colOff>
      <xdr:row>30</xdr:row>
      <xdr:rowOff>135890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CFB3BF2B-A2E8-4C06-B1BF-F8A04FE61E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659130</xdr:colOff>
      <xdr:row>1</xdr:row>
      <xdr:rowOff>152400</xdr:rowOff>
    </xdr:to>
    <xdr:pic>
      <xdr:nvPicPr>
        <xdr:cNvPr id="4" name="4 Imagen" descr="https://encrypted-tbn3.gstatic.com/images?q=tbn:ANd9GcS9dv_h_mgRl4NU7cIhTzv3MoOn0ZiT6qdeiJWxJuzUuUnUnoR-">
          <a:hlinkClick xmlns:r="http://schemas.openxmlformats.org/officeDocument/2006/relationships" r:id="rId3" tooltip="Ir al índice"/>
          <a:extLst>
            <a:ext uri="{FF2B5EF4-FFF2-40B4-BE49-F238E27FC236}">
              <a16:creationId xmlns:a16="http://schemas.microsoft.com/office/drawing/2014/main" id="{F6FA5A50-B66B-497D-BE7E-C280E2927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16900" y="38100"/>
          <a:ext cx="49720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14</xdr:row>
      <xdr:rowOff>95250</xdr:rowOff>
    </xdr:from>
    <xdr:ext cx="9191626" cy="4545000"/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B9BCEAEE-4F12-4316-8FB9-3851CE5735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597195</xdr:colOff>
      <xdr:row>1</xdr:row>
      <xdr:rowOff>102870</xdr:rowOff>
    </xdr:to>
    <xdr:pic>
      <xdr:nvPicPr>
        <xdr:cNvPr id="6" name="Imagen 5">
          <a:hlinkClick xmlns:r="http://schemas.openxmlformats.org/officeDocument/2006/relationships" r:id="rId3" tooltip="Volver al menú principal"/>
          <a:extLst>
            <a:ext uri="{FF2B5EF4-FFF2-40B4-BE49-F238E27FC236}">
              <a16:creationId xmlns:a16="http://schemas.microsoft.com/office/drawing/2014/main" id="{037E6EAD-82C4-4187-BA3F-2592C74E4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8295" cy="483870"/>
        </a:xfrm>
        <a:prstGeom prst="rect">
          <a:avLst/>
        </a:prstGeom>
      </xdr:spPr>
    </xdr:pic>
    <xdr:clientData/>
  </xdr:twoCellAnchor>
</xdr:wsDr>
</file>

<file path=xl/drawings/drawing103.xml><?xml version="1.0" encoding="utf-8"?>
<c:userShapes xmlns:c="http://schemas.openxmlformats.org/drawingml/2006/chart">
  <cdr:relSizeAnchor xmlns:cdr="http://schemas.openxmlformats.org/drawingml/2006/chartDrawing">
    <cdr:from>
      <cdr:x>0</cdr:x>
      <cdr:y>0.93842</cdr:y>
    </cdr:from>
    <cdr:to>
      <cdr:x>0.83869</cdr:x>
      <cdr:y>1</cdr:y>
    </cdr:to>
    <cdr:sp macro="" textlink="">
      <cdr:nvSpPr>
        <cdr:cNvPr id="4" name="1 CuadroTexto">
          <a:extLst xmlns:a="http://schemas.openxmlformats.org/drawingml/2006/main">
            <a:ext uri="{FF2B5EF4-FFF2-40B4-BE49-F238E27FC236}">
              <a16:creationId xmlns:a16="http://schemas.microsoft.com/office/drawing/2014/main" id="{31758F8E-4084-474F-8EDA-80184F875402}"/>
            </a:ext>
          </a:extLst>
        </cdr:cNvPr>
        <cdr:cNvSpPr txBox="1"/>
      </cdr:nvSpPr>
      <cdr:spPr>
        <a:xfrm xmlns:a="http://schemas.openxmlformats.org/drawingml/2006/main">
          <a:off x="0" y="3048001"/>
          <a:ext cx="5472113" cy="20002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rPr>
            <a:t>Insular</a:t>
          </a:r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 de Tenerife. ELABORACIÓN: Turismo de Tenerife </a:t>
          </a:r>
        </a:p>
      </cdr:txBody>
    </cdr:sp>
  </cdr:relSizeAnchor>
  <cdr:relSizeAnchor xmlns:cdr="http://schemas.openxmlformats.org/drawingml/2006/chartDrawing">
    <cdr:from>
      <cdr:x>0.39564</cdr:x>
      <cdr:y>0.35377</cdr:y>
    </cdr:from>
    <cdr:to>
      <cdr:x>0.91656</cdr:x>
      <cdr:y>0.48035</cdr:y>
    </cdr:to>
    <cdr:sp macro="" textlink="">
      <cdr:nvSpPr>
        <cdr:cNvPr id="6" name="Cerrar llave 5">
          <a:extLst xmlns:a="http://schemas.openxmlformats.org/drawingml/2006/main">
            <a:ext uri="{FF2B5EF4-FFF2-40B4-BE49-F238E27FC236}">
              <a16:creationId xmlns:a16="http://schemas.microsoft.com/office/drawing/2014/main" id="{469DACD7-1EE4-4E55-BAAA-E095C61962BC}"/>
            </a:ext>
          </a:extLst>
        </cdr:cNvPr>
        <cdr:cNvSpPr/>
      </cdr:nvSpPr>
      <cdr:spPr>
        <a:xfrm xmlns:a="http://schemas.openxmlformats.org/drawingml/2006/main" rot="16200000">
          <a:off x="4003280" y="-193004"/>
          <a:ext cx="450922" cy="3357458"/>
        </a:xfrm>
        <a:prstGeom xmlns:a="http://schemas.openxmlformats.org/drawingml/2006/main" prst="rightBrace">
          <a:avLst>
            <a:gd name="adj1" fmla="val 8333"/>
            <a:gd name="adj2" fmla="val 46363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0.43619</cdr:x>
      <cdr:y>0.15305</cdr:y>
    </cdr:from>
    <cdr:to>
      <cdr:x>0.82762</cdr:x>
      <cdr:y>0.25178</cdr:y>
    </cdr:to>
    <cdr:sp macro="" textlink="">
      <cdr:nvSpPr>
        <cdr:cNvPr id="7" name="CuadroTexto 3">
          <a:extLst xmlns:a="http://schemas.openxmlformats.org/drawingml/2006/main">
            <a:ext uri="{FF2B5EF4-FFF2-40B4-BE49-F238E27FC236}">
              <a16:creationId xmlns:a16="http://schemas.microsoft.com/office/drawing/2014/main" id="{277374B0-BFCC-495F-8F00-B86CEDAE30F1}"/>
            </a:ext>
          </a:extLst>
        </cdr:cNvPr>
        <cdr:cNvSpPr txBox="1"/>
      </cdr:nvSpPr>
      <cdr:spPr>
        <a:xfrm xmlns:a="http://schemas.openxmlformats.org/drawingml/2006/main">
          <a:off x="2811353" y="545212"/>
          <a:ext cx="2522863" cy="351710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ES" sz="1600" b="1">
              <a:solidFill>
                <a:schemeClr val="tx1">
                  <a:lumMod val="65000"/>
                  <a:lumOff val="35000"/>
                </a:schemeClr>
              </a:solidFill>
            </a:rPr>
            <a:t>Total</a:t>
          </a:r>
          <a:r>
            <a:rPr lang="es-ES" sz="1600" b="1" baseline="0">
              <a:solidFill>
                <a:schemeClr val="tx1">
                  <a:lumMod val="65000"/>
                  <a:lumOff val="35000"/>
                </a:schemeClr>
              </a:solidFill>
            </a:rPr>
            <a:t> turismo canario</a:t>
          </a:r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0.57735</cdr:x>
      <cdr:y>0.27208</cdr:y>
    </cdr:from>
    <cdr:to>
      <cdr:x>0.68978</cdr:x>
      <cdr:y>0.33541</cdr:y>
    </cdr:to>
    <cdr:sp macro="" textlink="'distribución españoles x Resid'!$O$9">
      <cdr:nvSpPr>
        <cdr:cNvPr id="8" name="CuadroTexto 3">
          <a:extLst xmlns:a="http://schemas.openxmlformats.org/drawingml/2006/main">
            <a:ext uri="{FF2B5EF4-FFF2-40B4-BE49-F238E27FC236}">
              <a16:creationId xmlns:a16="http://schemas.microsoft.com/office/drawing/2014/main" id="{4C9EE597-C83C-44F2-B4A3-633066BB0BF2}"/>
            </a:ext>
          </a:extLst>
        </cdr:cNvPr>
        <cdr:cNvSpPr txBox="1"/>
      </cdr:nvSpPr>
      <cdr:spPr>
        <a:xfrm xmlns:a="http://schemas.openxmlformats.org/drawingml/2006/main">
          <a:off x="3817377" y="1110490"/>
          <a:ext cx="743379" cy="2584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2700">
          <a:solidFill>
            <a:schemeClr val="accent3"/>
          </a:solidFill>
        </a:ln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D8EB6A94-6C61-4F4A-B0DF-7DBBFCDFD143}" type="TxLink">
            <a:rPr lang="en-US" sz="1200" b="1" i="0" u="none" strike="noStrike">
              <a:solidFill>
                <a:schemeClr val="accent3"/>
              </a:solidFill>
              <a:latin typeface="Calibri"/>
              <a:ea typeface="Calibri"/>
              <a:cs typeface="Calibri"/>
            </a:rPr>
            <a:pPr algn="ctr"/>
            <a:t>0,0%</a:t>
          </a:fld>
          <a:endParaRPr lang="es-ES" sz="1400" b="1">
            <a:solidFill>
              <a:schemeClr val="accent3"/>
            </a:solidFill>
          </a:endParaRPr>
        </a:p>
      </cdr:txBody>
    </cdr:sp>
  </cdr:relSizeAnchor>
  <cdr:relSizeAnchor xmlns:cdr="http://schemas.openxmlformats.org/drawingml/2006/chartDrawing">
    <cdr:from>
      <cdr:x>0.56188</cdr:x>
      <cdr:y>0.21162</cdr:y>
    </cdr:from>
    <cdr:to>
      <cdr:x>0.70176</cdr:x>
      <cdr:y>0.28983</cdr:y>
    </cdr:to>
    <cdr:sp macro="" textlink="'distribución españoles x Resid'!$N$9">
      <cdr:nvSpPr>
        <cdr:cNvPr id="9" name="CuadroTexto 3">
          <a:extLst xmlns:a="http://schemas.openxmlformats.org/drawingml/2006/main">
            <a:ext uri="{FF2B5EF4-FFF2-40B4-BE49-F238E27FC236}">
              <a16:creationId xmlns:a16="http://schemas.microsoft.com/office/drawing/2014/main" id="{B06674D6-B1FE-43AA-BD4E-1158A6AF831A}"/>
            </a:ext>
          </a:extLst>
        </cdr:cNvPr>
        <cdr:cNvSpPr txBox="1"/>
      </cdr:nvSpPr>
      <cdr:spPr>
        <a:xfrm xmlns:a="http://schemas.openxmlformats.org/drawingml/2006/main">
          <a:off x="3621442" y="753872"/>
          <a:ext cx="901561" cy="278611"/>
        </a:xfrm>
        <a:prstGeom xmlns:a="http://schemas.openxmlformats.org/drawingml/2006/main" prst="rect">
          <a:avLst/>
        </a:prstGeom>
        <a:ln xmlns:a="http://schemas.openxmlformats.org/drawingml/2006/main">
          <a:noFill/>
        </a:ln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3DFE3520-A142-44BE-949C-98BD71D40043}" type="TxLink">
            <a:rPr lang="en-US" sz="14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 algn="ctr"/>
            <a:t>55.216</a:t>
          </a:fld>
          <a:endParaRPr lang="es-ES" sz="1600" b="1">
            <a:solidFill>
              <a:schemeClr val="tx1">
                <a:lumMod val="65000"/>
                <a:lumOff val="3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0.70672</cdr:x>
      <cdr:y>0.26753</cdr:y>
    </cdr:from>
    <cdr:to>
      <cdr:x>0.82251</cdr:x>
      <cdr:y>0.33257</cdr:y>
    </cdr:to>
    <cdr:sp macro="" textlink="'distribución españoles x Resid'!$S$9">
      <cdr:nvSpPr>
        <cdr:cNvPr id="16" name="CuadroTexto 15">
          <a:extLst xmlns:a="http://schemas.openxmlformats.org/drawingml/2006/main">
            <a:ext uri="{FF2B5EF4-FFF2-40B4-BE49-F238E27FC236}">
              <a16:creationId xmlns:a16="http://schemas.microsoft.com/office/drawing/2014/main" id="{35529699-B5DE-4E82-9402-691AEDFDDCDC}"/>
            </a:ext>
          </a:extLst>
        </cdr:cNvPr>
        <cdr:cNvSpPr txBox="1"/>
      </cdr:nvSpPr>
      <cdr:spPr>
        <a:xfrm xmlns:a="http://schemas.openxmlformats.org/drawingml/2006/main">
          <a:off x="4672792" y="1091930"/>
          <a:ext cx="765596" cy="265458"/>
        </a:xfrm>
        <a:prstGeom xmlns:a="http://schemas.openxmlformats.org/drawingml/2006/main" prst="rect">
          <a:avLst/>
        </a:prstGeom>
        <a:ln xmlns:a="http://schemas.openxmlformats.org/drawingml/2006/main">
          <a:solidFill>
            <a:schemeClr val="bg1">
              <a:lumMod val="65000"/>
            </a:schemeClr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E3A6F43F-5657-4BB1-A66C-84C7CA060AD7}" type="TxLink">
            <a:rPr lang="en-US" sz="1100" b="1" i="0" u="none" strike="noStrike">
              <a:solidFill>
                <a:schemeClr val="bg1">
                  <a:lumMod val="65000"/>
                </a:schemeClr>
              </a:solidFill>
              <a:latin typeface="Calibri"/>
              <a:ea typeface="Calibri"/>
              <a:cs typeface="Calibri"/>
            </a:rPr>
            <a:pPr algn="ctr"/>
            <a:t>52,1%</a:t>
          </a:fld>
          <a:endParaRPr lang="es-ES" sz="1200">
            <a:solidFill>
              <a:schemeClr val="bg1">
                <a:lumMod val="6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1</cdr:x>
      <cdr:y>0.17381</cdr:y>
    </cdr:to>
    <cdr:sp macro="" textlink="'distribución españoles x Resid'!$B$3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55D3B39E-6851-4C36-B8B6-6CD68DC2EBAC}"/>
            </a:ext>
          </a:extLst>
        </cdr:cNvPr>
        <cdr:cNvSpPr txBox="1"/>
      </cdr:nvSpPr>
      <cdr:spPr>
        <a:xfrm xmlns:a="http://schemas.openxmlformats.org/drawingml/2006/main">
          <a:off x="0" y="0"/>
          <a:ext cx="6611935" cy="6762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CF2B8F0-D7E4-4DC8-B136-07E75A981FB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Santa Cruz de Tenerife según lugar de residencia</a:t>
          </a:fld>
          <a:endParaRPr lang="es-ES" sz="1800">
            <a:solidFill>
              <a:schemeClr val="tx1">
                <a:lumMod val="50000"/>
                <a:lumOff val="50000"/>
              </a:schemeClr>
            </a:solidFill>
          </a:endParaRPr>
        </a:p>
      </cdr:txBody>
    </cdr:sp>
  </cdr:relSizeAnchor>
</c:userShapes>
</file>

<file path=xl/drawings/drawing104.xml><?xml version="1.0" encoding="utf-8"?>
<c:userShapes xmlns:c="http://schemas.openxmlformats.org/drawingml/2006/chart">
  <cdr:relSizeAnchor xmlns:cdr="http://schemas.openxmlformats.org/drawingml/2006/chartDrawing">
    <cdr:from>
      <cdr:x>0</cdr:x>
      <cdr:y>0.93407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3238501"/>
          <a:ext cx="5472113" cy="2285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0.0087</cdr:x>
      <cdr:y>0</cdr:y>
    </cdr:from>
    <cdr:to>
      <cdr:x>0.99216</cdr:x>
      <cdr:y>0.2219</cdr:y>
    </cdr:to>
    <cdr:sp macro="" textlink="'distribución españoles x Resid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57150" y="0"/>
          <a:ext cx="6460423" cy="73257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Santa Cruz de Tenerife  por lugar de residencia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0.70361</cdr:x>
      <cdr:y>0.21422</cdr:y>
    </cdr:from>
    <cdr:to>
      <cdr:x>0.75287</cdr:x>
      <cdr:y>0.88569</cdr:y>
    </cdr:to>
    <cdr:sp macro="" textlink="">
      <cdr:nvSpPr>
        <cdr:cNvPr id="9" name="Cerrar llave 8">
          <a:extLst xmlns:a="http://schemas.openxmlformats.org/drawingml/2006/main">
            <a:ext uri="{FF2B5EF4-FFF2-40B4-BE49-F238E27FC236}">
              <a16:creationId xmlns:a16="http://schemas.microsoft.com/office/drawing/2014/main" id="{86FD90C6-C671-486D-8C54-9121492BC7EB}"/>
            </a:ext>
          </a:extLst>
        </cdr:cNvPr>
        <cdr:cNvSpPr/>
      </cdr:nvSpPr>
      <cdr:spPr>
        <a:xfrm xmlns:a="http://schemas.openxmlformats.org/drawingml/2006/main">
          <a:off x="5441950" y="708025"/>
          <a:ext cx="381000" cy="2219325"/>
        </a:xfrm>
        <a:prstGeom xmlns:a="http://schemas.openxmlformats.org/drawingml/2006/main" prst="rightBrace">
          <a:avLst>
            <a:gd name="adj1" fmla="val 8333"/>
            <a:gd name="adj2" fmla="val 29829"/>
          </a:avLst>
        </a:prstGeom>
        <a:ln xmlns:a="http://schemas.openxmlformats.org/drawingml/2006/main">
          <a:solidFill>
            <a:schemeClr val="bg1">
              <a:lumMod val="50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s-ES"/>
        </a:p>
      </cdr:txBody>
    </cdr:sp>
  </cdr:relSizeAnchor>
  <cdr:relSizeAnchor xmlns:cdr="http://schemas.openxmlformats.org/drawingml/2006/chartDrawing">
    <cdr:from>
      <cdr:x>0.75237</cdr:x>
      <cdr:y>0.25456</cdr:y>
    </cdr:from>
    <cdr:to>
      <cdr:x>0.99397</cdr:x>
      <cdr:y>0.53122</cdr:y>
    </cdr:to>
    <cdr:grpSp>
      <cdr:nvGrpSpPr>
        <cdr:cNvPr id="19" name="Grupo 18">
          <a:extLst xmlns:a="http://schemas.openxmlformats.org/drawingml/2006/main">
            <a:ext uri="{FF2B5EF4-FFF2-40B4-BE49-F238E27FC236}">
              <a16:creationId xmlns:a16="http://schemas.microsoft.com/office/drawing/2014/main" id="{43E73BE4-588E-45DC-B07F-87A1D48D6B98}"/>
            </a:ext>
          </a:extLst>
        </cdr:cNvPr>
        <cdr:cNvGrpSpPr/>
      </cdr:nvGrpSpPr>
      <cdr:grpSpPr>
        <a:xfrm xmlns:a="http://schemas.openxmlformats.org/drawingml/2006/main">
          <a:off x="4942376" y="840395"/>
          <a:ext cx="1587088" cy="913356"/>
          <a:chOff x="-118136" y="-50384"/>
          <a:chExt cx="1768394" cy="546907"/>
        </a:xfrm>
      </cdr:grpSpPr>
      <cdr:sp macro="" textlink="">
        <cdr:nvSpPr>
          <cdr:cNvPr id="23" name="CuadroTexto 3">
            <a:extLst xmlns:a="http://schemas.openxmlformats.org/drawingml/2006/main">
              <a:ext uri="{FF2B5EF4-FFF2-40B4-BE49-F238E27FC236}">
                <a16:creationId xmlns:a16="http://schemas.microsoft.com/office/drawing/2014/main" id="{C5AD8BF3-D5DB-43D7-800F-DEA9B011B08C}"/>
              </a:ext>
            </a:extLst>
          </cdr:cNvPr>
          <cdr:cNvSpPr txBox="1"/>
        </cdr:nvSpPr>
        <cdr:spPr>
          <a:xfrm xmlns:a="http://schemas.openxmlformats.org/drawingml/2006/main">
            <a:off x="-118136" y="-50384"/>
            <a:ext cx="1768394" cy="546907"/>
          </a:xfrm>
          <a:prstGeom xmlns:a="http://schemas.openxmlformats.org/drawingml/2006/main" prst="rect">
            <a:avLst/>
          </a:prstGeom>
          <a:ln xmlns:a="http://schemas.openxmlformats.org/drawingml/2006/main">
            <a:solidFill>
              <a:schemeClr val="bg1">
                <a:lumMod val="50000"/>
              </a:schemeClr>
            </a:solidFill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s-ES" sz="1400" b="1">
                <a:solidFill>
                  <a:schemeClr val="tx1">
                    <a:lumMod val="65000"/>
                    <a:lumOff val="35000"/>
                  </a:schemeClr>
                </a:solidFill>
              </a:rPr>
              <a:t>Total</a:t>
            </a:r>
            <a:r>
              <a:rPr lang="es-ES" sz="1400" b="1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 turismo canario</a:t>
            </a:r>
            <a:endParaRPr lang="es-ES" sz="1400" b="1">
              <a:solidFill>
                <a:schemeClr val="tx1">
                  <a:lumMod val="65000"/>
                  <a:lumOff val="35000"/>
                </a:schemeClr>
              </a:solidFill>
            </a:endParaRPr>
          </a:p>
        </cdr:txBody>
      </cdr:sp>
      <cdr:sp macro="" textlink="'distribución españoles x Resid'!$N$9">
        <cdr:nvSpPr>
          <cdr:cNvPr id="24" name="CuadroTexto 4">
            <a:extLst xmlns:a="http://schemas.openxmlformats.org/drawingml/2006/main">
              <a:ext uri="{FF2B5EF4-FFF2-40B4-BE49-F238E27FC236}">
                <a16:creationId xmlns:a16="http://schemas.microsoft.com/office/drawing/2014/main" id="{7BF59A4D-C9D0-46F6-A505-3100DBB18C12}"/>
              </a:ext>
            </a:extLst>
          </cdr:cNvPr>
          <cdr:cNvSpPr txBox="1"/>
        </cdr:nvSpPr>
        <cdr:spPr>
          <a:xfrm xmlns:a="http://schemas.openxmlformats.org/drawingml/2006/main">
            <a:off x="269366" y="246761"/>
            <a:ext cx="958037" cy="179899"/>
          </a:xfrm>
          <a:prstGeom xmlns:a="http://schemas.openxmlformats.org/drawingml/2006/main" prst="rect">
            <a:avLst/>
          </a:prstGeom>
          <a:ln xmlns:a="http://schemas.openxmlformats.org/drawingml/2006/main">
            <a:noFill/>
          </a:ln>
        </cdr:spPr>
        <cdr:txBody>
          <a:bodyPr xmlns:a="http://schemas.openxmlformats.org/drawingml/2006/main" wrap="square" rtlCol="0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/>
            <a:fld id="{412286F5-1A05-47E0-97D1-52FF465F2855}" type="TxLink">
              <a:rPr lang="en-US" sz="1600" b="1" i="0" u="none" strike="noStrike">
                <a:solidFill>
                  <a:srgbClr val="7B8279"/>
                </a:solidFill>
                <a:latin typeface="Calibri"/>
                <a:ea typeface="Calibri"/>
                <a:cs typeface="Calibri"/>
              </a:rPr>
              <a:pPr marL="0" indent="0" algn="ctr"/>
              <a:t>55.216</a:t>
            </a:fld>
            <a:endParaRPr lang="es-ES" sz="2000" b="1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0.73929</cdr:x>
      <cdr:y>0.56868</cdr:y>
    </cdr:from>
    <cdr:to>
      <cdr:x>0.99304</cdr:x>
      <cdr:y>0.84945</cdr:y>
    </cdr:to>
    <cdr:grpSp>
      <cdr:nvGrpSpPr>
        <cdr:cNvPr id="2" name="Grupo 1">
          <a:extLst xmlns:a="http://schemas.openxmlformats.org/drawingml/2006/main">
            <a:ext uri="{FF2B5EF4-FFF2-40B4-BE49-F238E27FC236}">
              <a16:creationId xmlns:a16="http://schemas.microsoft.com/office/drawing/2014/main" id="{4D63E92D-ACB2-45A8-BCA5-E07887F3BD29}"/>
            </a:ext>
          </a:extLst>
        </cdr:cNvPr>
        <cdr:cNvGrpSpPr/>
      </cdr:nvGrpSpPr>
      <cdr:grpSpPr>
        <a:xfrm xmlns:a="http://schemas.openxmlformats.org/drawingml/2006/main">
          <a:off x="4856452" y="1877420"/>
          <a:ext cx="1666903" cy="926924"/>
          <a:chOff x="4210084" y="1879587"/>
          <a:chExt cx="1581328" cy="927994"/>
        </a:xfrm>
      </cdr:grpSpPr>
      <cdr:sp macro="" textlink="">
        <cdr:nvSpPr>
          <cdr:cNvPr id="21" name="4 CuadroTexto">
            <a:extLst xmlns:a="http://schemas.openxmlformats.org/drawingml/2006/main">
              <a:ext uri="{FF2B5EF4-FFF2-40B4-BE49-F238E27FC236}">
                <a16:creationId xmlns:a16="http://schemas.microsoft.com/office/drawing/2014/main" id="{5DDA589D-22D4-4B16-B090-802F84D0510E}"/>
              </a:ext>
            </a:extLst>
          </cdr:cNvPr>
          <cdr:cNvSpPr txBox="1"/>
        </cdr:nvSpPr>
        <cdr:spPr>
          <a:xfrm xmlns:a="http://schemas.openxmlformats.org/drawingml/2006/main">
            <a:off x="4210084" y="1879587"/>
            <a:ext cx="1581328" cy="927994"/>
          </a:xfrm>
          <a:prstGeom xmlns:a="http://schemas.openxmlformats.org/drawingml/2006/main" prst="rect">
            <a:avLst/>
          </a:prstGeom>
          <a:ln xmlns:a="http://schemas.openxmlformats.org/drawingml/2006/main" w="3175">
            <a:solidFill>
              <a:schemeClr val="accent1"/>
            </a:solidFill>
          </a:ln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Turismo Canario</a:t>
            </a:r>
          </a:p>
          <a:p xmlns:a="http://schemas.openxmlformats.org/drawingml/2006/main">
            <a:pPr marL="0" indent="0" algn="ctr">
              <a:lnSpc>
                <a:spcPct val="100000"/>
              </a:lnSpc>
            </a:pPr>
            <a:r>
              <a:rPr lang="es-ES" sz="1400" b="1" i="0" u="none" strike="noStrike" dirty="0">
                <a:solidFill>
                  <a:schemeClr val="accent2"/>
                </a:solidFill>
                <a:latin typeface="Calibri"/>
                <a:ea typeface="+mn-ea"/>
                <a:cs typeface="+mn-cs"/>
              </a:rPr>
              <a:t> </a:t>
            </a:r>
          </a:p>
        </cdr:txBody>
      </cdr:sp>
      <cdr:sp macro="" textlink="'distribución españoles x Resid'!$S$9">
        <cdr:nvSpPr>
          <cdr:cNvPr id="22" name="CuadroTexto 1">
            <a:extLst xmlns:a="http://schemas.openxmlformats.org/drawingml/2006/main">
              <a:ext uri="{FF2B5EF4-FFF2-40B4-BE49-F238E27FC236}">
                <a16:creationId xmlns:a16="http://schemas.microsoft.com/office/drawing/2014/main" id="{7A1FB039-8E15-44CE-9502-D48144CFC5DB}"/>
              </a:ext>
            </a:extLst>
          </cdr:cNvPr>
          <cdr:cNvSpPr txBox="1"/>
        </cdr:nvSpPr>
        <cdr:spPr>
          <a:xfrm xmlns:a="http://schemas.openxmlformats.org/drawingml/2006/main">
            <a:off x="4562251" y="2317629"/>
            <a:ext cx="731698" cy="333174"/>
          </a:xfrm>
          <a:prstGeom xmlns:a="http://schemas.openxmlformats.org/drawingml/2006/main" prst="rect">
            <a:avLst/>
          </a:prstGeom>
        </cdr:spPr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marL="0" indent="0" algn="r"/>
            <a:fld id="{6252F33D-EF1C-47C4-96A5-DEAC3CCFC160}" type="TxLink">
              <a:rPr lang="en-US" sz="1400" b="1" i="0" u="none" strike="noStrike">
                <a:solidFill>
                  <a:schemeClr val="accent6"/>
                </a:solidFill>
                <a:latin typeface="Calibri"/>
                <a:ea typeface="Calibri"/>
                <a:cs typeface="Calibri"/>
              </a:rPr>
              <a:pPr marL="0" indent="0" algn="r"/>
              <a:t>52,1%</a:t>
            </a:fld>
            <a:endParaRPr lang="es-ES" sz="1800" b="1" i="0" u="none" strike="noStrike">
              <a:solidFill>
                <a:schemeClr val="accent6"/>
              </a:solidFill>
              <a:latin typeface="Calibri"/>
              <a:ea typeface="+mn-ea"/>
              <a:cs typeface="+mn-cs"/>
            </a:endParaRPr>
          </a:p>
        </cdr:txBody>
      </cdr:sp>
    </cdr:grpSp>
  </cdr:relSizeAnchor>
  <cdr:relSizeAnchor xmlns:cdr="http://schemas.openxmlformats.org/drawingml/2006/chartDrawing">
    <cdr:from>
      <cdr:x>0.76539</cdr:x>
      <cdr:y>0.77333</cdr:y>
    </cdr:from>
    <cdr:to>
      <cdr:x>0.97535</cdr:x>
      <cdr:y>0.84538</cdr:y>
    </cdr:to>
    <cdr:sp macro="" textlink="">
      <cdr:nvSpPr>
        <cdr:cNvPr id="26" name="CuadroTexto 1">
          <a:extLst xmlns:a="http://schemas.openxmlformats.org/drawingml/2006/main">
            <a:ext uri="{FF2B5EF4-FFF2-40B4-BE49-F238E27FC236}">
              <a16:creationId xmlns:a16="http://schemas.microsoft.com/office/drawing/2014/main" id="{0D6E40F3-67BA-46DA-9F8A-37F48AFBB0E0}"/>
            </a:ext>
          </a:extLst>
        </cdr:cNvPr>
        <cdr:cNvSpPr txBox="1"/>
      </cdr:nvSpPr>
      <cdr:spPr>
        <a:xfrm xmlns:a="http://schemas.openxmlformats.org/drawingml/2006/main">
          <a:off x="5027931" y="2553033"/>
          <a:ext cx="1379220" cy="2378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r>
            <a:rPr lang="en-US" sz="1400" b="1" i="0" u="none" strike="noStrike">
              <a:solidFill>
                <a:schemeClr val="accent2"/>
              </a:solidFill>
              <a:latin typeface="Calibri"/>
            </a:rPr>
            <a:t>del total España</a:t>
          </a:r>
          <a:endParaRPr lang="es-ES" sz="1600" b="1">
            <a:solidFill>
              <a:schemeClr val="accent2"/>
            </a:solidFill>
          </a:endParaRPr>
        </a:p>
      </cdr:txBody>
    </cdr:sp>
  </cdr:relSizeAnchor>
</c:userShapes>
</file>

<file path=xl/drawings/drawing105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06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6A2A31B5-CA3E-449C-849E-B36C47D98E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FF18491B-A305-4464-9637-57FD1968D3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4D619F4D-1E6C-4CFC-9792-DF9079A5C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8381480-A794-4B6F-8D95-2DB7BAF9D4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07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F71BC7C3-6684-4714-A6D1-8223AD0694D0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españoles entrados en los hoteles y apartamentos de Santa Cruz de Tenerife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españole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105.943 viajeros 
cuota: 100,0%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españole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#¡REF!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08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09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AA12B1A5-99C7-4666-81CF-5E2024C436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40775503-989B-46F3-BB89-B5A7C181C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E9656E21-E219-401F-8112-0632E2320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6C3C73E-0483-47FF-B4B8-7386864B8C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0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re x cate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lugar categoría del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peninsulare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50.727 viajeros 
cuota: 100,0%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peninsulare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#¡VALOR!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1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2.xml><?xml version="1.0" encoding="utf-8"?>
<xdr:wsDr xmlns:xdr="http://schemas.openxmlformats.org/drawingml/2006/spreadsheetDrawing" xmlns:a="http://schemas.openxmlformats.org/drawingml/2006/main">
  <xdr:twoCellAnchor editAs="absolute">
    <xdr:from>
      <xdr:col>14</xdr:col>
      <xdr:colOff>608964</xdr:colOff>
      <xdr:row>23</xdr:row>
      <xdr:rowOff>95885</xdr:rowOff>
    </xdr:from>
    <xdr:to>
      <xdr:col>25</xdr:col>
      <xdr:colOff>3809</xdr:colOff>
      <xdr:row>130</xdr:row>
      <xdr:rowOff>272415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A5FD69D5-63CB-4612-8F8E-C0DDCBE565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DB121871-F77A-4E57-AB7D-9927EB80A7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2155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4" name="Imagen 3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838B09FF-7026-45DC-AFE1-91E888D74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16</xdr:row>
      <xdr:rowOff>142873</xdr:rowOff>
    </xdr:from>
    <xdr:to>
      <xdr:col>12</xdr:col>
      <xdr:colOff>238125</xdr:colOff>
      <xdr:row>123</xdr:row>
      <xdr:rowOff>180974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E968223-122D-4693-9A45-B794BB04DA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113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os x cate'!$B$3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6DD7FDF9-C129-4B73-A2D8-1D48F8148B42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Calibri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Viajeros canarios entrados en los hoteles y apartamentos de Santa Cruz de Tenerife por tipología y categoría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  <cdr:relSizeAnchor xmlns:cdr="http://schemas.openxmlformats.org/drawingml/2006/chartDrawing">
    <cdr:from>
      <cdr:x>0.041</cdr:x>
      <cdr:y>0.26031</cdr:y>
    </cdr:from>
    <cdr:to>
      <cdr:x>0.24854</cdr:x>
      <cdr:y>0.41201</cdr:y>
    </cdr:to>
    <cdr:sp macro="" textlink="'distribución canarios x cate'!$AA$19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485A1103-5FB5-B2C6-21B1-F6862E0BCB8F}"/>
            </a:ext>
          </a:extLst>
        </cdr:cNvPr>
        <cdr:cNvSpPr txBox="1"/>
      </cdr:nvSpPr>
      <cdr:spPr>
        <a:xfrm xmlns:a="http://schemas.openxmlformats.org/drawingml/2006/main">
          <a:off x="347469" y="1319893"/>
          <a:ext cx="1758710" cy="769191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1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fld id="{D24D9A57-6BDE-4FF9-BFFC-01600462B1D2}" type="TxLink">
            <a:rPr lang="en-US" sz="1400" b="0" i="0" u="none" strike="noStrike">
              <a:solidFill>
                <a:schemeClr val="accent6">
                  <a:lumMod val="75000"/>
                </a:schemeClr>
              </a:solidFill>
              <a:latin typeface="Calibri"/>
              <a:ea typeface="Calibri"/>
              <a:cs typeface="Calibri"/>
            </a:rPr>
            <a:pPr algn="ctr"/>
            <a:t>hotelera: 
55.216 viajeros 
cuota: 100,0%</a:t>
          </a:fld>
          <a:endParaRPr lang="es-ES" sz="1400">
            <a:solidFill>
              <a:schemeClr val="accent6">
                <a:lumMod val="75000"/>
              </a:schemeClr>
            </a:solidFill>
          </a:endParaRPr>
        </a:p>
      </cdr:txBody>
    </cdr:sp>
  </cdr:relSizeAnchor>
  <cdr:relSizeAnchor xmlns:cdr="http://schemas.openxmlformats.org/drawingml/2006/chartDrawing">
    <cdr:from>
      <cdr:x>0.77039</cdr:x>
      <cdr:y>0.19841</cdr:y>
    </cdr:from>
    <cdr:to>
      <cdr:x>0.98376</cdr:x>
      <cdr:y>0.34296</cdr:y>
    </cdr:to>
    <cdr:sp macro="" textlink="'distribución canarios x cate'!$AA$20">
      <cdr:nvSpPr>
        <cdr:cNvPr id="3" name="CuadroTexto 1">
          <a:extLst xmlns:a="http://schemas.openxmlformats.org/drawingml/2006/main">
            <a:ext uri="{FF2B5EF4-FFF2-40B4-BE49-F238E27FC236}">
              <a16:creationId xmlns:a16="http://schemas.microsoft.com/office/drawing/2014/main" id="{621E849B-B2E6-1154-D44C-15561EF878B3}"/>
            </a:ext>
          </a:extLst>
        </cdr:cNvPr>
        <cdr:cNvSpPr txBox="1"/>
      </cdr:nvSpPr>
      <cdr:spPr>
        <a:xfrm xmlns:a="http://schemas.openxmlformats.org/drawingml/2006/main">
          <a:off x="6528359" y="1005667"/>
          <a:ext cx="1808114" cy="732662"/>
        </a:xfrm>
        <a:prstGeom xmlns:a="http://schemas.openxmlformats.org/drawingml/2006/main" prst="rect">
          <a:avLst/>
        </a:prstGeom>
        <a:ln xmlns:a="http://schemas.openxmlformats.org/drawingml/2006/main" w="3175">
          <a:solidFill>
            <a:schemeClr val="accent4"/>
          </a:solidFill>
        </a:ln>
      </cdr:spPr>
      <cdr:txBody>
        <a:bodyPr xmlns:a="http://schemas.openxmlformats.org/drawingml/2006/main" vertOverflow="clip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indent="0" algn="ctr"/>
          <a:fld id="{1B227F2D-33F7-4897-8363-626781F97EAE}" type="TxLink">
            <a:rPr lang="en-US" sz="1400" b="0" i="0" u="none" strike="noStrike">
              <a:solidFill>
                <a:schemeClr val="accent4"/>
              </a:solidFill>
              <a:latin typeface="Calibri"/>
              <a:ea typeface="+mn-ea"/>
              <a:cs typeface="Calibri"/>
            </a:rPr>
            <a:pPr marL="0" indent="0" algn="ctr"/>
            <a:t>#¡VALOR!</a:t>
          </a:fld>
          <a:endParaRPr lang="es-ES" sz="1400" b="0" i="0" u="none" strike="noStrike">
            <a:solidFill>
              <a:schemeClr val="accent4"/>
            </a:solidFill>
            <a:latin typeface="Calibri"/>
            <a:ea typeface="+mn-ea"/>
            <a:cs typeface="Calibri"/>
          </a:endParaRPr>
        </a:p>
      </cdr:txBody>
    </cdr:sp>
  </cdr:relSizeAnchor>
</c:userShapes>
</file>

<file path=xl/drawings/drawing114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5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0D1389C7-2F58-4F64-AC59-6B3C63D236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920EF001-2826-4909-95CE-A4E268718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ACA0F336-A740-42FE-8433-9C7C3E45B2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58A762C1-CFFE-4365-8875-D9CC508A5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E3B95CA-78B5-44CF-9134-1E0B77343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16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españoles x mun al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españoles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17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18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19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FCD2C696-B09E-4E79-91DC-778E91E286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D75C5DD3-660E-4F2B-A448-362A730F3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99AF1FDE-3734-4E84-8F2A-4936ECB08F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FE33CDF4-6BCC-4613-9702-4F60118E94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1EFE072-CA14-47CA-8281-A01279E154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0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peninsula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peninsulares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21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2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3.xml><?xml version="1.0" encoding="utf-8"?>
<xdr:wsDr xmlns:xdr="http://schemas.openxmlformats.org/drawingml/2006/spreadsheetDrawing" xmlns:a="http://schemas.openxmlformats.org/drawingml/2006/main">
  <xdr:twoCellAnchor editAs="absolute">
    <xdr:from>
      <xdr:col>12</xdr:col>
      <xdr:colOff>818515</xdr:colOff>
      <xdr:row>21</xdr:row>
      <xdr:rowOff>73025</xdr:rowOff>
    </xdr:from>
    <xdr:to>
      <xdr:col>21</xdr:col>
      <xdr:colOff>59056</xdr:colOff>
      <xdr:row>125</xdr:row>
      <xdr:rowOff>15240</xdr:rowOff>
    </xdr:to>
    <xdr:graphicFrame macro="">
      <xdr:nvGraphicFramePr>
        <xdr:cNvPr id="2" name="2 Gráfico">
          <a:extLst>
            <a:ext uri="{FF2B5EF4-FFF2-40B4-BE49-F238E27FC236}">
              <a16:creationId xmlns:a16="http://schemas.microsoft.com/office/drawing/2014/main" id="{9C357B1A-8738-4BFA-A1F4-24BD3FBB1A4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22</xdr:col>
      <xdr:colOff>161925</xdr:colOff>
      <xdr:row>0</xdr:row>
      <xdr:rowOff>38100</xdr:rowOff>
    </xdr:from>
    <xdr:to>
      <xdr:col>22</xdr:col>
      <xdr:colOff>666750</xdr:colOff>
      <xdr:row>1</xdr:row>
      <xdr:rowOff>152400</xdr:rowOff>
    </xdr:to>
    <xdr:pic>
      <xdr:nvPicPr>
        <xdr:cNvPr id="3" name="4 Imagen" descr="https://encrypted-tbn3.gstatic.com/images?q=tbn:ANd9GcS9dv_h_mgRl4NU7cIhTzv3MoOn0ZiT6qdeiJWxJuzUuUnUnoR-">
          <a:hlinkClick xmlns:r="http://schemas.openxmlformats.org/officeDocument/2006/relationships" r:id="rId2" tooltip="Ir al índice"/>
          <a:extLst>
            <a:ext uri="{FF2B5EF4-FFF2-40B4-BE49-F238E27FC236}">
              <a16:creationId xmlns:a16="http://schemas.microsoft.com/office/drawing/2014/main" id="{B425E863-4732-4182-A1A6-AEA5A9C62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bg2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50300" y="38100"/>
          <a:ext cx="504825" cy="495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552449</xdr:colOff>
      <xdr:row>19</xdr:row>
      <xdr:rowOff>95250</xdr:rowOff>
    </xdr:from>
    <xdr:ext cx="9191626" cy="4545000"/>
    <xdr:graphicFrame macro="">
      <xdr:nvGraphicFramePr>
        <xdr:cNvPr id="4" name="1 Gráfico">
          <a:extLst>
            <a:ext uri="{FF2B5EF4-FFF2-40B4-BE49-F238E27FC236}">
              <a16:creationId xmlns:a16="http://schemas.microsoft.com/office/drawing/2014/main" id="{CDD57916-B959-4B05-B7B5-4B1F870249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oneCellAnchor>
  <xdr:twoCellAnchor editAs="oneCell">
    <xdr:from>
      <xdr:col>0</xdr:col>
      <xdr:colOff>0</xdr:colOff>
      <xdr:row>0</xdr:row>
      <xdr:rowOff>0</xdr:rowOff>
    </xdr:from>
    <xdr:to>
      <xdr:col>1</xdr:col>
      <xdr:colOff>589575</xdr:colOff>
      <xdr:row>1</xdr:row>
      <xdr:rowOff>97155</xdr:rowOff>
    </xdr:to>
    <xdr:pic>
      <xdr:nvPicPr>
        <xdr:cNvPr id="5" name="Imagen 4">
          <a:hlinkClick xmlns:r="http://schemas.openxmlformats.org/officeDocument/2006/relationships" r:id="rId2" tooltip="Volver al menú principal"/>
          <a:extLst>
            <a:ext uri="{FF2B5EF4-FFF2-40B4-BE49-F238E27FC236}">
              <a16:creationId xmlns:a16="http://schemas.microsoft.com/office/drawing/2014/main" id="{436858F3-5D0A-43AA-8C30-19DD10E5D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70675" cy="478155"/>
        </a:xfrm>
        <a:prstGeom prst="rect">
          <a:avLst/>
        </a:prstGeom>
      </xdr:spPr>
    </xdr:pic>
    <xdr:clientData/>
  </xdr:twoCellAnchor>
  <xdr:twoCellAnchor>
    <xdr:from>
      <xdr:col>0</xdr:col>
      <xdr:colOff>909636</xdr:colOff>
      <xdr:row>20</xdr:row>
      <xdr:rowOff>142873</xdr:rowOff>
    </xdr:from>
    <xdr:to>
      <xdr:col>12</xdr:col>
      <xdr:colOff>76200</xdr:colOff>
      <xdr:row>127</xdr:row>
      <xdr:rowOff>180974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EBEA91F-AC45-49C8-8CFE-8B5887772A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124.xml><?xml version="1.0" encoding="utf-8"?>
<c:userShapes xmlns:c="http://schemas.openxmlformats.org/drawingml/2006/chart">
  <cdr:relSizeAnchor xmlns:cdr="http://schemas.openxmlformats.org/drawingml/2006/chartDrawing">
    <cdr:from>
      <cdr:x>0</cdr:x>
      <cdr:y>0.95573</cdr:y>
    </cdr:from>
    <cdr:to>
      <cdr:x>1</cdr:x>
      <cdr:y>1</cdr:y>
    </cdr:to>
    <cdr:sp macro="" textlink="">
      <cdr:nvSpPr>
        <cdr:cNvPr id="5" name="4 CuadroTexto">
          <a:extLst xmlns:a="http://schemas.openxmlformats.org/drawingml/2006/main">
            <a:ext uri="{FF2B5EF4-FFF2-40B4-BE49-F238E27FC236}">
              <a16:creationId xmlns:a16="http://schemas.microsoft.com/office/drawing/2014/main" id="{10A6DA9C-579B-4317-8004-9093C32CC0FD}"/>
            </a:ext>
          </a:extLst>
        </cdr:cNvPr>
        <cdr:cNvSpPr txBox="1"/>
      </cdr:nvSpPr>
      <cdr:spPr>
        <a:xfrm xmlns:a="http://schemas.openxmlformats.org/drawingml/2006/main">
          <a:off x="0" y="4318000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  <cdr:relSizeAnchor xmlns:cdr="http://schemas.openxmlformats.org/drawingml/2006/chartDrawing">
    <cdr:from>
      <cdr:x>0</cdr:x>
      <cdr:y>0</cdr:y>
    </cdr:from>
    <cdr:to>
      <cdr:x>0.98346</cdr:x>
      <cdr:y>0.2219</cdr:y>
    </cdr:to>
    <cdr:sp macro="" textlink="'distribución canarias x munici'!$B$1">
      <cdr:nvSpPr>
        <cdr:cNvPr id="8" name="3 CuadroTexto">
          <a:extLst xmlns:a="http://schemas.openxmlformats.org/drawingml/2006/main">
            <a:ext uri="{FF2B5EF4-FFF2-40B4-BE49-F238E27FC236}">
              <a16:creationId xmlns:a16="http://schemas.microsoft.com/office/drawing/2014/main" id="{D057B0D6-92AC-44E6-A3F0-60D32F0574F6}"/>
            </a:ext>
          </a:extLst>
        </cdr:cNvPr>
        <cdr:cNvSpPr txBox="1"/>
      </cdr:nvSpPr>
      <cdr:spPr>
        <a:xfrm xmlns:a="http://schemas.openxmlformats.org/drawingml/2006/main">
          <a:off x="0" y="0"/>
          <a:ext cx="5735539" cy="73341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fld id="{4E31E5DE-9ED6-468A-966E-E24316C30A9D}" type="TxLink">
            <a:rPr lang="en-US" sz="1600" b="1" i="0" u="none" strike="noStrike" baseline="0">
              <a:solidFill>
                <a:srgbClr val="7B8279"/>
              </a:solidFill>
              <a:effectLst/>
              <a:latin typeface="Calibri"/>
              <a:ea typeface="+mn-ea"/>
              <a:cs typeface="Calibri"/>
            </a:rPr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t>Distribución de viajeros canarios entrados en hoteles y apartamentos de Tenerife por municipio de alojamiento</a:t>
          </a:fld>
          <a:endParaRPr lang="en-US" sz="1600" b="1" i="0" u="none" strike="noStrike" baseline="0">
            <a:solidFill>
              <a:srgbClr val="7B8279"/>
            </a:solidFill>
            <a:effectLst/>
            <a:latin typeface="Calibri"/>
            <a:ea typeface="+mn-ea"/>
            <a:cs typeface="Calibri"/>
          </a:endParaRPr>
        </a:p>
      </cdr:txBody>
    </cdr:sp>
  </cdr:relSizeAnchor>
</c:userShapes>
</file>

<file path=xl/drawings/drawing125.xml><?xml version="1.0" encoding="utf-8"?>
<c:userShapes xmlns:c="http://schemas.openxmlformats.org/drawingml/2006/chart">
  <cdr:relSizeAnchor xmlns:cdr="http://schemas.openxmlformats.org/drawingml/2006/chartDrawing">
    <cdr:from>
      <cdr:x>0</cdr:x>
      <cdr:y>0.96396</cdr:y>
    </cdr:from>
    <cdr:to>
      <cdr:x>0.46659</cdr:x>
      <cdr:y>0.99246</cdr:y>
    </cdr:to>
    <cdr:sp macro="" textlink="">
      <cdr:nvSpPr>
        <cdr:cNvPr id="5" name="Text Box 1">
          <a:extLst xmlns:a="http://schemas.openxmlformats.org/drawingml/2006/main">
            <a:ext uri="{FF2B5EF4-FFF2-40B4-BE49-F238E27FC236}">
              <a16:creationId xmlns:a16="http://schemas.microsoft.com/office/drawing/2014/main" id="{835B97E9-A6BA-4699-B50D-73341AE27577}"/>
            </a:ext>
          </a:extLst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0" y="5482978"/>
          <a:ext cx="4044312" cy="1621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none" lIns="18288" tIns="18288" rIns="0" bIns="18288" anchor="ctr" upright="1">
          <a:spAutoFit/>
        </a:bodyPr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0">
            <a:defRPr sz="1000"/>
          </a:pP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FUENTE: Desarrollo</a:t>
          </a:r>
          <a:r>
            <a:rPr lang="es-ES" sz="800" b="0" i="0" strike="noStrike" baseline="0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 Económico, Cabildo Insular de Tenerife</a:t>
          </a:r>
          <a:r>
            <a:rPr lang="es-ES" sz="800" b="0" i="0" strike="noStrike">
              <a:solidFill>
                <a:schemeClr val="tx1">
                  <a:lumMod val="75000"/>
                  <a:lumOff val="25000"/>
                </a:schemeClr>
              </a:solidFill>
              <a:latin typeface="+mn-lt"/>
              <a:cs typeface="Arial"/>
            </a:rPr>
            <a:t>. ELABORACIÓN: Turismo de Tenerife </a:t>
          </a:r>
        </a:p>
      </cdr:txBody>
    </cdr:sp>
  </cdr:relSizeAnchor>
  <cdr:relSizeAnchor xmlns:cdr="http://schemas.openxmlformats.org/drawingml/2006/chartDrawing">
    <cdr:from>
      <cdr:x>0.00049</cdr:x>
      <cdr:y>0.12489</cdr:y>
    </cdr:from>
    <cdr:to>
      <cdr:x>1</cdr:x>
      <cdr:y>0.12489</cdr:y>
    </cdr:to>
    <cdr:cxnSp macro="">
      <cdr:nvCxnSpPr>
        <cdr:cNvPr id="6" name="2 Conector recto">
          <a:extLst xmlns:a="http://schemas.openxmlformats.org/drawingml/2006/main">
            <a:ext uri="{FF2B5EF4-FFF2-40B4-BE49-F238E27FC236}">
              <a16:creationId xmlns:a16="http://schemas.microsoft.com/office/drawing/2014/main" id="{07FE23C6-CFC7-4969-9CB5-AD9AB9F14D6D}"/>
            </a:ext>
          </a:extLst>
        </cdr:cNvPr>
        <cdr:cNvCxnSpPr/>
      </cdr:nvCxnSpPr>
      <cdr:spPr>
        <a:xfrm xmlns:a="http://schemas.openxmlformats.org/drawingml/2006/main">
          <a:off x="3678" y="609064"/>
          <a:ext cx="7502022" cy="0"/>
        </a:xfrm>
        <a:prstGeom xmlns:a="http://schemas.openxmlformats.org/drawingml/2006/main" prst="line">
          <a:avLst/>
        </a:prstGeom>
        <a:ln xmlns:a="http://schemas.openxmlformats.org/drawingml/2006/main" w="19050"/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0.94454</cdr:y>
    </cdr:from>
    <cdr:to>
      <cdr:x>0.99951</cdr:x>
      <cdr:y>0.94454</cdr:y>
    </cdr:to>
    <cdr:cxnSp macro="">
      <cdr:nvCxnSpPr>
        <cdr:cNvPr id="7" name="1 Conector recto">
          <a:extLst xmlns:a="http://schemas.openxmlformats.org/drawingml/2006/main">
            <a:ext uri="{FF2B5EF4-FFF2-40B4-BE49-F238E27FC236}">
              <a16:creationId xmlns:a16="http://schemas.microsoft.com/office/drawing/2014/main" id="{3BA969A3-DA45-4D06-BE89-EA2703541B15}"/>
            </a:ext>
          </a:extLst>
        </cdr:cNvPr>
        <cdr:cNvCxnSpPr/>
      </cdr:nvCxnSpPr>
      <cdr:spPr>
        <a:xfrm xmlns:a="http://schemas.openxmlformats.org/drawingml/2006/main" flipV="1">
          <a:off x="0" y="3514725"/>
          <a:ext cx="6534150" cy="0"/>
        </a:xfrm>
        <a:prstGeom xmlns:a="http://schemas.openxmlformats.org/drawingml/2006/main" prst="line">
          <a:avLst/>
        </a:prstGeom>
        <a:ln xmlns:a="http://schemas.openxmlformats.org/drawingml/2006/main" w="9525">
          <a:solidFill>
            <a:schemeClr val="bg1">
              <a:lumMod val="75000"/>
            </a:schemeClr>
          </a:solidFill>
        </a:ln>
      </cdr:spPr>
      <cdr:style>
        <a:lnRef xmlns:a="http://schemas.openxmlformats.org/drawingml/2006/main" idx="1">
          <a:schemeClr val="accent6"/>
        </a:lnRef>
        <a:fillRef xmlns:a="http://schemas.openxmlformats.org/drawingml/2006/main" idx="0">
          <a:schemeClr val="accent6"/>
        </a:fillRef>
        <a:effectRef xmlns:a="http://schemas.openxmlformats.org/drawingml/2006/main" idx="0">
          <a:schemeClr val="accent6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126.xml><?xml version="1.0" encoding="utf-8"?>
<c:userShapes xmlns:c="http://schemas.openxmlformats.org/drawingml/2006/chart">
  <cdr:relSizeAnchor xmlns:cdr="http://schemas.openxmlformats.org/drawingml/2006/chartDrawing">
    <cdr:from>
      <cdr:x>0</cdr:x>
      <cdr:y>0.9614</cdr:y>
    </cdr:from>
    <cdr:to>
      <cdr:x>0.71535</cdr:x>
      <cdr:y>1</cdr:y>
    </cdr:to>
    <cdr:sp macro="" textlink="">
      <cdr:nvSpPr>
        <cdr:cNvPr id="2" name="4 CuadroTexto">
          <a:extLst xmlns:a="http://schemas.openxmlformats.org/drawingml/2006/main">
            <a:ext uri="{FF2B5EF4-FFF2-40B4-BE49-F238E27FC236}">
              <a16:creationId xmlns:a16="http://schemas.microsoft.com/office/drawing/2014/main" id="{0D988794-9A26-B8B3-12AC-A4523A2C68C0}"/>
            </a:ext>
          </a:extLst>
        </cdr:cNvPr>
        <cdr:cNvSpPr txBox="1"/>
      </cdr:nvSpPr>
      <cdr:spPr>
        <a:xfrm xmlns:a="http://schemas.openxmlformats.org/drawingml/2006/main">
          <a:off x="0" y="4981576"/>
          <a:ext cx="6530976" cy="200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ES" sz="800">
              <a:solidFill>
                <a:schemeClr val="tx1">
                  <a:lumMod val="75000"/>
                  <a:lumOff val="25000"/>
                </a:schemeClr>
              </a:solidFill>
            </a:rPr>
            <a:t>FUENTE: Desarrollo Económico, Cabildo Insular de Tenerife. ELABORACIÓN: Turismo de Tenerife </a:t>
          </a:r>
        </a:p>
      </cdr:txBody>
    </cdr:sp>
  </cdr:relSizeAnchor>
</c:userShapes>
</file>

<file path=xl/drawings/drawing12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20F4E0-7431-4D27-A809-61935B2F7A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8220211-159F-410A-873C-B30A4E41C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DE47C45-6098-4A74-B4F6-A5902C5D4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28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españo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españoles entrados en los establecimientos alojativos de Santa Cruz de Tenerife
(hotel + apartamento)</a:t>
          </a:fld>
          <a:endParaRPr lang="es-ES" sz="1100"/>
        </a:p>
      </cdr:txBody>
    </cdr:sp>
  </cdr:relSizeAnchor>
</c:userShapes>
</file>

<file path=xl/drawings/drawing12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5EFA60A-26D6-42CF-A1DD-6A3DDC7B43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5A7D201-574E-4E2C-8B26-FFE81C2ADD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43425BD-519B-4875-8B3E-49D6940648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0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penins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peninsulares entrados en los establecimientos alojativos de Santa Cruz de Tenerife
(hotel + apartamento)</a:t>
          </a:fld>
          <a:endParaRPr lang="es-ES" sz="1100"/>
        </a:p>
      </cdr:txBody>
    </cdr:sp>
  </cdr:relSizeAnchor>
</c:userShapes>
</file>

<file path=xl/drawings/drawing13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457199</xdr:colOff>
      <xdr:row>2</xdr:row>
      <xdr:rowOff>114299</xdr:rowOff>
    </xdr:from>
    <xdr:to>
      <xdr:col>15</xdr:col>
      <xdr:colOff>355199</xdr:colOff>
      <xdr:row>24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0AFEC3-34CE-40A1-9391-26042FAAAE1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85725</xdr:colOff>
      <xdr:row>3</xdr:row>
      <xdr:rowOff>47625</xdr:rowOff>
    </xdr:from>
    <xdr:to>
      <xdr:col>0</xdr:col>
      <xdr:colOff>847725</xdr:colOff>
      <xdr:row>3</xdr:row>
      <xdr:rowOff>714375</xdr:rowOff>
    </xdr:to>
    <xdr:pic>
      <xdr:nvPicPr>
        <xdr:cNvPr id="3" name="Imagen 2" descr="Iconos Png Gratis Resume Volver Icono Descarga Gratuita - Pump ...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14F8CD8-A1AB-4CE6-B90C-8DAB77A510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duotone>
            <a:schemeClr val="accent6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619125"/>
          <a:ext cx="76200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866775</xdr:colOff>
      <xdr:row>2</xdr:row>
      <xdr:rowOff>133631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8242445-E284-450A-8F23-ED9EBB532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885950" cy="514631"/>
        </a:xfrm>
        <a:prstGeom prst="rect">
          <a:avLst/>
        </a:prstGeom>
      </xdr:spPr>
    </xdr:pic>
    <xdr:clientData/>
  </xdr:twoCellAnchor>
</xdr:wsDr>
</file>

<file path=xl/drawings/drawing132.xml><?xml version="1.0" encoding="utf-8"?>
<c:userShapes xmlns:c="http://schemas.openxmlformats.org/drawingml/2006/chart">
  <cdr:relSizeAnchor xmlns:cdr="http://schemas.openxmlformats.org/drawingml/2006/chartDrawing">
    <cdr:from>
      <cdr:x>0</cdr:x>
      <cdr:y>0.96197</cdr:y>
    </cdr:from>
    <cdr:to>
      <cdr:x>0.51546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3F3C333A-74BE-4B15-A334-38708C5CCB3A}"/>
            </a:ext>
          </a:extLst>
        </cdr:cNvPr>
        <cdr:cNvSpPr txBox="1"/>
      </cdr:nvSpPr>
      <cdr:spPr>
        <a:xfrm xmlns:a="http://schemas.openxmlformats.org/drawingml/2006/main">
          <a:off x="0" y="4095750"/>
          <a:ext cx="3809972" cy="1619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s-ES" sz="800">
              <a:solidFill>
                <a:schemeClr val="tx1">
                  <a:lumMod val="65000"/>
                  <a:lumOff val="35000"/>
                </a:schemeClr>
              </a:solidFill>
            </a:rPr>
            <a:t>FUENTE: Encuestas Alojamientos Turísticos (ISTAC). ELABORACIÓN: Turismo de Tenerife.</a:t>
          </a:r>
        </a:p>
      </cdr:txBody>
    </cdr:sp>
  </cdr:relSizeAnchor>
  <cdr:relSizeAnchor xmlns:cdr="http://schemas.openxmlformats.org/drawingml/2006/chartDrawing">
    <cdr:from>
      <cdr:x>0</cdr:x>
      <cdr:y>0.00391</cdr:y>
    </cdr:from>
    <cdr:to>
      <cdr:x>0.97423</cdr:x>
      <cdr:y>0.1721</cdr:y>
    </cdr:to>
    <cdr:sp macro="" textlink="'evolución anual viaj ent canari'!$B$4:$D$4">
      <cdr:nvSpPr>
        <cdr:cNvPr id="3" name="CuadroTexto 2">
          <a:extLst xmlns:a="http://schemas.openxmlformats.org/drawingml/2006/main">
            <a:ext uri="{FF2B5EF4-FFF2-40B4-BE49-F238E27FC236}">
              <a16:creationId xmlns:a16="http://schemas.microsoft.com/office/drawing/2014/main" id="{94AAEC51-F9F8-42F1-82A2-DC0F2CA03A46}"/>
            </a:ext>
          </a:extLst>
        </cdr:cNvPr>
        <cdr:cNvSpPr txBox="1"/>
      </cdr:nvSpPr>
      <cdr:spPr>
        <a:xfrm xmlns:a="http://schemas.openxmlformats.org/drawingml/2006/main">
          <a:off x="0" y="14283"/>
          <a:ext cx="7200900" cy="6143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fld id="{60C01995-918E-4030-8C15-D1CA634D2456}" type="TxLink">
            <a:rPr lang="en-US" sz="1600" b="1" i="0" u="none" strike="noStrike">
              <a:solidFill>
                <a:srgbClr val="595959"/>
              </a:solidFill>
              <a:latin typeface="Calibri"/>
              <a:ea typeface="Calibri"/>
              <a:cs typeface="Calibri"/>
            </a:rPr>
            <a:pPr/>
            <a:t>Evolución de viajeros canarios entrados en los establecimientos alojativos de Santa Cruz de Tenerife
(hotel + apartamento)</a:t>
          </a:fld>
          <a:endParaRPr lang="es-ES" sz="1100"/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Tenerife azul">
      <a:dk1>
        <a:srgbClr val="373A36"/>
      </a:dk1>
      <a:lt1>
        <a:sysClr val="window" lastClr="FFFFFF"/>
      </a:lt1>
      <a:dk2>
        <a:srgbClr val="1F497D"/>
      </a:dk2>
      <a:lt2>
        <a:srgbClr val="EEECE1"/>
      </a:lt2>
      <a:accent1>
        <a:srgbClr val="1226AA"/>
      </a:accent1>
      <a:accent2>
        <a:srgbClr val="0071CE"/>
      </a:accent2>
      <a:accent3>
        <a:srgbClr val="1ECAD3"/>
      </a:accent3>
      <a:accent4>
        <a:srgbClr val="3CB4E5"/>
      </a:accent4>
      <a:accent5>
        <a:srgbClr val="F32735"/>
      </a:accent5>
      <a:accent6>
        <a:srgbClr val="0047BA"/>
      </a:accent6>
      <a:hlink>
        <a:srgbClr val="000B8C"/>
      </a:hlink>
      <a:folHlink>
        <a:srgbClr val="009AD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Tenerife azul">
    <a:dk1>
      <a:srgbClr val="373A36"/>
    </a:dk1>
    <a:lt1>
      <a:sysClr val="window" lastClr="FFFFFF"/>
    </a:lt1>
    <a:dk2>
      <a:srgbClr val="1F497D"/>
    </a:dk2>
    <a:lt2>
      <a:srgbClr val="EEECE1"/>
    </a:lt2>
    <a:accent1>
      <a:srgbClr val="1226AA"/>
    </a:accent1>
    <a:accent2>
      <a:srgbClr val="0071CE"/>
    </a:accent2>
    <a:accent3>
      <a:srgbClr val="1ECAD3"/>
    </a:accent3>
    <a:accent4>
      <a:srgbClr val="3CB4E5"/>
    </a:accent4>
    <a:accent5>
      <a:srgbClr val="F32735"/>
    </a:accent5>
    <a:accent6>
      <a:srgbClr val="0047BA"/>
    </a:accent6>
    <a:hlink>
      <a:srgbClr val="000B8C"/>
    </a:hlink>
    <a:folHlink>
      <a:srgbClr val="009ADE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4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5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6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7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1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2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3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4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5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6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7.xml><?xml version="1.0" encoding="utf-8"?>
<a:themeOverride xmlns:a="http://schemas.openxmlformats.org/drawingml/2006/main">
  <a:clrScheme name="Office 2007-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8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9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0.xml><?xml version="1.0" encoding="utf-8"?>
<a:themeOverride xmlns:a="http://schemas.openxmlformats.org/drawingml/2006/main">
  <a:clrScheme name="Verde azulado">
    <a:dk1>
      <a:sysClr val="windowText" lastClr="000000"/>
    </a:dk1>
    <a:lt1>
      <a:sysClr val="window" lastClr="FFFFFF"/>
    </a:lt1>
    <a:dk2>
      <a:srgbClr val="373545"/>
    </a:dk2>
    <a:lt2>
      <a:srgbClr val="CEDBE6"/>
    </a:lt2>
    <a:accent1>
      <a:srgbClr val="3494BA"/>
    </a:accent1>
    <a:accent2>
      <a:srgbClr val="58B6C0"/>
    </a:accent2>
    <a:accent3>
      <a:srgbClr val="75BDA7"/>
    </a:accent3>
    <a:accent4>
      <a:srgbClr val="7A8C8E"/>
    </a:accent4>
    <a:accent5>
      <a:srgbClr val="84ACB6"/>
    </a:accent5>
    <a:accent6>
      <a:srgbClr val="2683C6"/>
    </a:accent6>
    <a:hlink>
      <a:srgbClr val="6B9F25"/>
    </a:hlink>
    <a:folHlink>
      <a:srgbClr val="9F6715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19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20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21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22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1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26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7.x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27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28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29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1.xml"/></Relationships>
</file>

<file path=xl/worksheets/_rels/sheet3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30.bin"/></Relationships>
</file>

<file path=xl/worksheets/_rels/sheet4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31.bin"/></Relationships>
</file>

<file path=xl/worksheets/_rels/sheet4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32.bin"/></Relationships>
</file>

<file path=xl/worksheets/_rels/sheet4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33.bin"/></Relationships>
</file>

<file path=xl/worksheets/_rels/sheet4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34.bin"/></Relationships>
</file>

<file path=xl/worksheets/_rels/sheet4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35.bin"/></Relationships>
</file>

<file path=xl/worksheets/_rels/sheet4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36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37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38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0E490-34F8-4395-A068-C87D1238F43D}">
  <dimension ref="B1:M56"/>
  <sheetViews>
    <sheetView showGridLines="0" tabSelected="1" workbookViewId="0"/>
  </sheetViews>
  <sheetFormatPr baseColWidth="10" defaultRowHeight="15" x14ac:dyDescent="0.25"/>
  <cols>
    <col min="1" max="1" width="13.7109375" customWidth="1"/>
    <col min="2" max="2" width="147.7109375" customWidth="1"/>
  </cols>
  <sheetData>
    <row r="1" spans="2:13" x14ac:dyDescent="0.25">
      <c r="B1" s="1" t="s">
        <v>0</v>
      </c>
    </row>
    <row r="2" spans="2:13" ht="36" x14ac:dyDescent="0.55000000000000004">
      <c r="B2" s="2" t="s">
        <v>1</v>
      </c>
      <c r="M2" t="e">
        <f>#REF!/#REF!</f>
        <v>#REF!</v>
      </c>
    </row>
    <row r="3" spans="2:13" ht="36" x14ac:dyDescent="0.55000000000000004">
      <c r="B3" s="2" t="s">
        <v>53</v>
      </c>
    </row>
    <row r="4" spans="2:13" ht="23.25" x14ac:dyDescent="0.35">
      <c r="B4" s="3" t="s">
        <v>219</v>
      </c>
    </row>
    <row r="5" spans="2:13" x14ac:dyDescent="0.25">
      <c r="B5" s="4"/>
    </row>
    <row r="6" spans="2:13" ht="21.75" thickBot="1" x14ac:dyDescent="0.4">
      <c r="B6" s="5" t="s">
        <v>2</v>
      </c>
    </row>
    <row r="7" spans="2:13" ht="15.75" thickTop="1" x14ac:dyDescent="0.25"/>
    <row r="8" spans="2:13" ht="15.75" x14ac:dyDescent="0.25">
      <c r="B8" s="6" t="s">
        <v>220</v>
      </c>
    </row>
    <row r="9" spans="2:13" ht="15.75" x14ac:dyDescent="0.25">
      <c r="B9" s="6" t="s">
        <v>3</v>
      </c>
    </row>
    <row r="10" spans="2:13" ht="15.75" x14ac:dyDescent="0.25">
      <c r="B10" s="6"/>
    </row>
    <row r="11" spans="2:13" ht="19.5" thickBot="1" x14ac:dyDescent="0.35">
      <c r="B11" s="7" t="s">
        <v>4</v>
      </c>
    </row>
    <row r="12" spans="2:13" ht="18.75" x14ac:dyDescent="0.3">
      <c r="B12" s="8"/>
    </row>
    <row r="13" spans="2:13" ht="15.75" x14ac:dyDescent="0.25">
      <c r="B13" s="6" t="s">
        <v>5</v>
      </c>
    </row>
    <row r="14" spans="2:13" ht="15.75" x14ac:dyDescent="0.25">
      <c r="B14" s="6" t="s">
        <v>6</v>
      </c>
    </row>
    <row r="15" spans="2:13" x14ac:dyDescent="0.25">
      <c r="B15" s="9"/>
    </row>
    <row r="16" spans="2:13" ht="19.5" thickBot="1" x14ac:dyDescent="0.35">
      <c r="B16" s="7" t="s">
        <v>7</v>
      </c>
    </row>
    <row r="17" spans="2:2" ht="15.75" x14ac:dyDescent="0.25">
      <c r="B17" s="6"/>
    </row>
    <row r="18" spans="2:2" ht="15.75" x14ac:dyDescent="0.25">
      <c r="B18" s="10" t="s">
        <v>8</v>
      </c>
    </row>
    <row r="19" spans="2:2" ht="15.75" x14ac:dyDescent="0.25">
      <c r="B19" s="6" t="s">
        <v>221</v>
      </c>
    </row>
    <row r="20" spans="2:2" ht="15.75" x14ac:dyDescent="0.25">
      <c r="B20" s="6" t="s">
        <v>222</v>
      </c>
    </row>
    <row r="21" spans="2:2" ht="15.75" x14ac:dyDescent="0.25">
      <c r="B21" s="6" t="s">
        <v>223</v>
      </c>
    </row>
    <row r="22" spans="2:2" ht="15.75" x14ac:dyDescent="0.25">
      <c r="B22" s="6" t="s">
        <v>9</v>
      </c>
    </row>
    <row r="23" spans="2:2" ht="15.75" x14ac:dyDescent="0.25">
      <c r="B23" s="6" t="s">
        <v>10</v>
      </c>
    </row>
    <row r="24" spans="2:2" ht="15.75" x14ac:dyDescent="0.25">
      <c r="B24" s="6" t="s">
        <v>11</v>
      </c>
    </row>
    <row r="25" spans="2:2" ht="15.75" x14ac:dyDescent="0.25">
      <c r="B25" s="6" t="s">
        <v>12</v>
      </c>
    </row>
    <row r="26" spans="2:2" ht="15.75" x14ac:dyDescent="0.25">
      <c r="B26" s="6" t="s">
        <v>13</v>
      </c>
    </row>
    <row r="27" spans="2:2" ht="15.75" x14ac:dyDescent="0.25">
      <c r="B27" s="6" t="s">
        <v>14</v>
      </c>
    </row>
    <row r="28" spans="2:2" ht="15.75" x14ac:dyDescent="0.25">
      <c r="B28" s="6" t="s">
        <v>15</v>
      </c>
    </row>
    <row r="29" spans="2:2" ht="15.75" x14ac:dyDescent="0.25">
      <c r="B29" s="6" t="s">
        <v>16</v>
      </c>
    </row>
    <row r="30" spans="2:2" ht="15.75" x14ac:dyDescent="0.25">
      <c r="B30" s="6" t="s">
        <v>17</v>
      </c>
    </row>
    <row r="31" spans="2:2" ht="15.75" x14ac:dyDescent="0.25">
      <c r="B31" s="10" t="s">
        <v>18</v>
      </c>
    </row>
    <row r="32" spans="2:2" ht="15.75" x14ac:dyDescent="0.25">
      <c r="B32" s="6" t="s">
        <v>19</v>
      </c>
    </row>
    <row r="33" spans="2:2" ht="15.75" x14ac:dyDescent="0.25">
      <c r="B33" s="6" t="s">
        <v>20</v>
      </c>
    </row>
    <row r="34" spans="2:2" ht="15.75" x14ac:dyDescent="0.25">
      <c r="B34" s="10" t="s">
        <v>21</v>
      </c>
    </row>
    <row r="35" spans="2:2" ht="15.75" x14ac:dyDescent="0.25">
      <c r="B35" s="6" t="s">
        <v>224</v>
      </c>
    </row>
    <row r="36" spans="2:2" ht="15.75" x14ac:dyDescent="0.25">
      <c r="B36" s="6" t="s">
        <v>225</v>
      </c>
    </row>
    <row r="37" spans="2:2" ht="15.75" x14ac:dyDescent="0.25">
      <c r="B37" s="6" t="str">
        <f>CONCATENATE("Pernoctaciones en los establecimientos alojativos de Tenerife según lugar de residencia y municipio de alojamiento (hotel + apartamento) - mes")</f>
        <v>Pernoctaciones en los establecimientos alojativos de Tenerife según lugar de residencia y municipio de alojamiento (hotel + apartamento) - mes</v>
      </c>
    </row>
    <row r="38" spans="2:2" ht="15.75" x14ac:dyDescent="0.25">
      <c r="B38" s="6" t="str">
        <f>CONCATENATE("Pernoctaciones en los establecimientos alojativos de Tenerife según lugar de residencia y municipio de alojamiento (hotel + apartamento) - acumulado")</f>
        <v>Pernoctaciones en los establecimientos alojativos de Tenerife según lugar de residencia y municipio de alojamiento (hotel + apartamento) - acumulado</v>
      </c>
    </row>
    <row r="39" spans="2:2" ht="15.75" x14ac:dyDescent="0.25">
      <c r="B39" s="6" t="str">
        <f>CONCATENATE("Pernoctaciones en los establecimientos alojativos de Tenerife según lugar de residencia y municipio de alojamiento (hotel + apartamento) - año")</f>
        <v>Pernoctaciones en los establecimientos alojativos de Tenerife según lugar de residencia y municipio de alojamiento (hotel + apartamento) - año</v>
      </c>
    </row>
    <row r="40" spans="2:2" ht="15.75" x14ac:dyDescent="0.25">
      <c r="B40" s="10" t="s">
        <v>22</v>
      </c>
    </row>
    <row r="41" spans="2:2" ht="15.75" x14ac:dyDescent="0.25">
      <c r="B41" s="6" t="s">
        <v>226</v>
      </c>
    </row>
    <row r="42" spans="2:2" ht="15.75" x14ac:dyDescent="0.25">
      <c r="B42" s="6" t="s">
        <v>227</v>
      </c>
    </row>
    <row r="43" spans="2:2" ht="15.75" x14ac:dyDescent="0.25">
      <c r="B43" s="10" t="s">
        <v>23</v>
      </c>
    </row>
    <row r="44" spans="2:2" ht="15.75" x14ac:dyDescent="0.25">
      <c r="B44" s="6" t="s">
        <v>228</v>
      </c>
    </row>
    <row r="45" spans="2:2" ht="15.75" x14ac:dyDescent="0.25">
      <c r="B45" s="10" t="s">
        <v>24</v>
      </c>
    </row>
    <row r="46" spans="2:2" ht="31.5" x14ac:dyDescent="0.25">
      <c r="B46" s="11" t="s">
        <v>25</v>
      </c>
    </row>
    <row r="47" spans="2:2" ht="15.75" x14ac:dyDescent="0.25">
      <c r="B47" s="11" t="s">
        <v>26</v>
      </c>
    </row>
    <row r="48" spans="2:2" ht="15.75" x14ac:dyDescent="0.25">
      <c r="B48" s="11" t="s">
        <v>27</v>
      </c>
    </row>
    <row r="49" spans="2:2" ht="15.75" x14ac:dyDescent="0.25">
      <c r="B49" s="10" t="s">
        <v>28</v>
      </c>
    </row>
    <row r="50" spans="2:2" ht="15.75" x14ac:dyDescent="0.25">
      <c r="B50" s="6" t="s">
        <v>229</v>
      </c>
    </row>
    <row r="51" spans="2:2" ht="15.75" x14ac:dyDescent="0.25">
      <c r="B51" s="6" t="s">
        <v>230</v>
      </c>
    </row>
    <row r="52" spans="2:2" ht="15.75" x14ac:dyDescent="0.25">
      <c r="B52" s="6" t="s">
        <v>231</v>
      </c>
    </row>
    <row r="53" spans="2:2" ht="15.75" x14ac:dyDescent="0.25">
      <c r="B53" s="6" t="s">
        <v>232</v>
      </c>
    </row>
    <row r="54" spans="2:2" ht="15.75" x14ac:dyDescent="0.25">
      <c r="B54" s="6" t="s">
        <v>29</v>
      </c>
    </row>
    <row r="55" spans="2:2" ht="15.75" x14ac:dyDescent="0.25">
      <c r="B55" s="6" t="s">
        <v>30</v>
      </c>
    </row>
    <row r="56" spans="2:2" ht="15.75" x14ac:dyDescent="0.25">
      <c r="B56" s="6" t="s">
        <v>31</v>
      </c>
    </row>
  </sheetData>
  <hyperlinks>
    <hyperlink ref="B13" location="'Plazas aloj islas cat y tipolog'!A1" tooltip="Plazas alojativas Canarias e islas" display="Plazas alojativas Canarias e islas" xr:uid="{744AE4CD-C5A3-4EDA-B234-0F67E79DF2F9}"/>
    <hyperlink ref="B19" location="'Viajeros entr evol mensu TF'!A1" tooltip="Evolución mensual de viajeros entrentrados en Tenerife según lugar de residencia" display="Evolución mensual de viajeros entrados en Tenerife según lugar de residencia" xr:uid="{A608A1C2-B360-42E1-BBB6-15F05C72CE4A}"/>
    <hyperlink ref="B14" location="'Establecim aloj islas cat y tip'!A1" tooltip="Establecimientos alojativos Canarias e islas" display="Establecimientos alojativos Canarias e islas" xr:uid="{633B15B1-A0AC-4BA5-8141-E57D07330D30}"/>
    <hyperlink ref="B32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mes" xr:uid="{B7BDEC3C-D5EA-477E-8745-4F1B0A89BB3F}"/>
    <hyperlink ref="B23" location="'Viajeros entr ti-cat ultimo mes'!A1" tooltip="Viajeros entrados en los establecimientos alojativos de Tenerife por municipio y categoría " display="Viajeros entrados en los establecimientos alojativos de Tenerife por municipio y categoría " xr:uid="{FC563B08-35BC-4829-A579-BA1348422504}"/>
    <hyperlink ref="B37" location="'Pernoctaciones lugar reside'!A1" tooltip="Pernoctaciones registradas en establecimientos alojativos de Canarias e islas según tipología y categoría" display="'Pernoctaciones lugar reside'!A1" xr:uid="{BD59CD83-E838-4FC7-8034-999ACDA036FB}"/>
    <hyperlink ref="B8" location="'Resumen indicadores (aloj)'!A1" tooltip="Resumen indicadores Tenerife" display="'Resumen indicadores (aloj)'!A1" xr:uid="{F75E297D-428F-4CAE-A6C5-154C933E0F5E}"/>
    <hyperlink ref="B9" location="'Resumen indicadores municipios '!A1" tooltip="Resumen indicadores municipios Tenerife" display="Resumen indicadores municipios Tenerife" xr:uid="{58799154-9A9F-40D2-B622-2581AD60FB59}"/>
    <hyperlink ref="B20" location="'Viajeros entr evol mensu TF cat'!A1" tooltip="Evolución mensual de viajeros entrentrados en Tenerife según lugar de residencia" display="'Viajeros entr evol mensu TF cat'!A1" xr:uid="{9D5A3177-E6E7-49B1-983E-71BEB0711AC4}"/>
    <hyperlink ref="B21" location="'Viajeros entr evol anual TF cat'!A1" tooltip="Evolución mensual de viajeros entrentrados en Tenerife según lugar de residencia" display="'Viajeros entr evol anual TF cat'!A1" xr:uid="{863DB577-922B-42CE-A44D-2708C87E57FC}"/>
    <hyperlink ref="B33" location="'viaj aloj lugar residen mes'!A1" tooltip="Viajeros alojados en los establecimientos alojativos de Tenerife según lugar de residencia y municipio de alojamiento" display="Viajeros alojados en los establecimientos alojativos de Tenerife según lugar de residencia y municipio de alojamiento - acumulado" xr:uid="{999AFA1D-9A04-4FB7-B593-0FAE6049AEDE}"/>
    <hyperlink ref="B24" location="'viaj entrados lugar resid años '!A1" tooltip="Viajeros entrados en los establecimientos alojativos de Tenerife según lugar de residencia y municipio de alojamiento" display="Viajeros entrados en los establecimientos alojativos de Tenerife según lugar de residencia y municipio de alojamiento - año" xr:uid="{F939B284-0BDA-484F-AB26-BA2B6E913985}"/>
    <hyperlink ref="B25" location="'viaj entrados lugar residencia'!A1" tooltip="Viajeros entrados en los establecimientos alojativos de Tenerife según lugar de residencia y municipio de alojamiento" display="Viajeros entrados en los establecimientos alojativos de Tenerife según lugar de residencia y municipio de alojamiento - mes" xr:uid="{2C68CBD8-D90A-4F7F-B087-BFC6F6DD0DF9}"/>
    <hyperlink ref="B26" location="'viaj entrados lugar residen acu'!A1" tooltip="Viajeros entrados en los establecimientos alojativos de Tenerife según lugar de residencia y municipio de alojamiento" display="Viajeros entrados en los establecimientos alojativos de Tenerife según lugar de residencia y municipio de alojamiento - acumulado" xr:uid="{0006362F-2EF0-4616-94E3-0A6472205B6E}"/>
    <hyperlink ref="B27:B28" location="'viaj entrados lugar residen acu'!A1" tooltip="Viajeros entrados en los establecimientos alojativos de según lugar de residencia y municipio de alojamiento" display="Viajeros entrados en los establecimientos alojativos de según lugar de residencia y municipio de alojamiento - acumulado" xr:uid="{040BF080-6F92-4CC3-9B1D-1436152A569C}"/>
    <hyperlink ref="B27" location="'viaj entrados lugar residen hot'!A1" tooltip="Viajeros entrados en los hoteles de Tenerife según lugar de residencia y municipio de alojamiento - acumulado" display="Viajeros entrados en los hoteles de Tenerife según lugar de residencia y municipio de alojamiento - acumulado" xr:uid="{04943FE8-AB74-48D6-BD90-D97FE31C4409}"/>
    <hyperlink ref="B29" location="'viaj entrados lugar residen cat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cumulado" xr:uid="{5274EA80-B717-407B-89D4-C2221C3AFFBD}"/>
    <hyperlink ref="B28" location="'viaj entrados lugar residen apt'!A1" tooltip="Viajeros entrados en los apartamentos de Tenerife según lugar de residencia y municipio de alojamiento" display="Viajeros entrados en los apartamentos de Tenerife según lugar de residencia y municipio de alojamiento - acumulado" xr:uid="{75F97DA2-8DE9-46EE-BCF8-4456F66B26B2}"/>
    <hyperlink ref="B30" location="'viaj entr lugar res año categor'!A1" tooltip="Viajeros entrados en los establecimientos hoteleros de Tenerife según lugar de residencia, categoría y municipio del alojamiento" display="Viajeros entrados en los establecimientos hoteleros de Tenerife según lugar de residencia, categoría y municipio del alojamiento - año" xr:uid="{E86ACE50-1EEA-460B-9587-4EA2309628DE}"/>
    <hyperlink ref="B50" location="'distribución españoles x Resid'!A1" tooltip="=CONCATENAR(&quot;Viajeros españoles entrados en los hoteles y apartamentos de &quot;;Actualizaciones!$B$3;&quot; según lugar de residencia&quot;)" display="=CONCATENAR(&quot;Viajeros españoles entrados en los hoteles y apartamentos de &quot;;Actualizaciones!$B$3;&quot; según lugar de residencia - acumulado&quot;)" xr:uid="{548602BB-E0E0-45EE-B7F2-2FADE16A472E}"/>
    <hyperlink ref="B22" location="'distribución españoles x mun al'!A1" tooltip="Viajeros peninsulares entrados en los hoteles y apartamentos de Tenerife por municipio de alojamiento" display="Viajeros peninsulares entrados en los hoteles y apartamentos de Tenerife por municipio de alojamiento - acumulado" xr:uid="{9948D725-0C5B-48A8-A9CB-31CA480BBEAC}"/>
    <hyperlink ref="B53" location="'distribución canarias x munici'!A1" tooltip="=CONCATENAR(&quot;Viajeros canarios entrados en los hoteles y apartamentos de &quot;;Actualizaciones!$B$3;&quot; por tipología y categoría de alojamiento&quot;)" display="'distribución canarias x munici'!A1" xr:uid="{AABE4701-D358-47C8-BE3B-D17A2132405A}"/>
    <hyperlink ref="B35" location="'Pernoctaciones evol mensu TF'!A1" tooltip="Evolución mensual de pernoctaciones en Tenerife según lugar de residencia" display="'Pernoctaciones evol mensu TF'!A1" xr:uid="{4595BB6D-0F9D-4F74-AD72-B6083405D482}"/>
    <hyperlink ref="B36" location="'Pernocta evol mensu TF cat'!A1" tooltip="Evolución mensual de pernoctaciones en Tenerife según lugar de residencia" display="'Pernocta evol mensu TF cat'!A1" xr:uid="{94D5BF3E-2877-4EF6-9535-845899F5D52B}"/>
    <hyperlink ref="B38" location="'Pernoctaciones lugar residen ac'!A1" tooltip="Pernoctaciones registradas en establecimientos alojativos de Canarias e islas según tipología y categoría" display="'Pernoctaciones lugar residen ac'!A1" xr:uid="{E2800282-96B9-43B7-973B-270669E83FDC}"/>
    <hyperlink ref="B39" location="'Pernoctaciones lugar reside año'!A1" tooltip="Pernoctaciones registradas en establecimientos alojativos de Canarias e islas según tipología y categoría" display="'Pernoctaciones lugar reside año'!A1" xr:uid="{6642095E-DF9E-449B-A41E-36B1E2A73476}"/>
    <hyperlink ref="B46" location="'ADR RevPAR ingresos totales ult'!A1" tooltip="Pernoctaciones registradas en establecimientos alojativos de Canarias e islas según tipología y categoría" display="Tarifa media diaria ADR por habitación en los establecimientos alojativos Tenerife por municipio  (hotel + apartamento) " xr:uid="{7FAD361A-0E56-4E56-9652-E426E3D4224D}"/>
    <hyperlink ref="B41" location="'EM evol menusual lugar resd'!A1" tooltip="Evolución mensual de estancia media en Tenerife según lugar de residencia" display="'EM evol menusual lugar resd'!A1" xr:uid="{CA1551AC-05ED-4114-B682-0BC5449E8C88}"/>
    <hyperlink ref="B42" location="'EM evol mensu TF cat '!A1" tooltip="Evolución mensual de estancia media en Tenerife según lugar de residencia" display="'EM evol mensu TF cat '!A1" xr:uid="{78905770-4C42-456C-ACE7-3EB87EE1D3B5}"/>
    <hyperlink ref="B44" location="'tasa de ocupación evol mens'!A1" tooltip="Evolución mensual de estancia media en Tenerife según lugar de residencia" display="'tasa de ocupación evol mens'!A1" xr:uid="{C9AA4F5B-9C14-43CD-A08B-F1F9AFF8B171}"/>
    <hyperlink ref="B52" location="'distribución peninsula x munici'!A1" tooltip="=CONCATENAR(&quot;Viajeros peninsulares entrados en los hoteles y apartamentos de &quot;;Actualizaciones!$B$3;&quot; por tipología y categoría de alojamiento&quot;)" display="'distribución peninsula x munici'!A1" xr:uid="{48B53A8F-B9F9-4548-B3AE-8D819A9D752D}"/>
    <hyperlink ref="B51" location="'distribución españoles x mun al'!A1" tooltip="=CONCATENAR(&quot;Viajeros españoles entrados en los hoteles y apartamentos de &quot;;Actualizaciones!$B$3;&quot; por tipología y categoría de alojamiento&quot;)" display="'distribución españoles x mun al'!A1" xr:uid="{A816D97F-E58C-45F8-B609-806083678DCE}"/>
    <hyperlink ref="B54" location="'evolución anual viaj ent españo'!A1" tooltip="Viajeros españoles entrados en los hoteles y apartamentos de Tenerife por municipio de alojamiento" display="Viajeros españoles entrados en los hoteles y apartamentos de Tenerife por municipio de alojamiento" xr:uid="{36C661B7-574F-462C-BF52-8F22FDDB054C}"/>
    <hyperlink ref="B55" location="'evolución anual viaj ent penins'!A1" tooltip="Viajeros peninsulares entrados en los hoteles y apartamentos de Tenerife por municipio de alojamiento" display="Viajeros peninsulares entrados en los hoteles y apartamentos de Tenerife por municipio de alojamiento" xr:uid="{73D0FF1F-D570-4D2F-B6E5-6C5FA0700EEB}"/>
    <hyperlink ref="B56" location="'evolución anual viaj ent canari'!A1" tooltip="Viajeros canarios entrados en los hoteles y apartamentos de Tenerife por municipio de alojamiento" display="Viajeros canarios entrados en los hoteles y apartamentos de Tenerife por municipio de alojamiento" xr:uid="{DD4BC02F-2DB3-48C0-934B-8DB8A9313CCD}"/>
    <hyperlink ref="B47" location="'ADR municipios'!A1" display="Tarifa media diaria (ADR) Tenerife y municipios" xr:uid="{843D2673-FD3E-4EBC-93CD-A66042C22135}"/>
    <hyperlink ref="B48" location="'RevPAR  municipios'!A1" display="Ingresos medios por habitación (RevPar) Tenerife y municipios" xr:uid="{5E5DF367-A7BD-4A06-9D21-E60BF9573E13}"/>
  </hyperlinks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A56BE-D0E9-45BE-B945-9F4DB41800E9}">
  <sheetPr>
    <tabColor theme="8" tint="0.59999389629810485"/>
  </sheetPr>
  <dimension ref="A4:L77"/>
  <sheetViews>
    <sheetView showGridLines="0" zoomScaleNormal="100" workbookViewId="0"/>
  </sheetViews>
  <sheetFormatPr baseColWidth="10" defaultColWidth="11.42578125" defaultRowHeight="15" x14ac:dyDescent="0.25"/>
  <cols>
    <col min="3" max="3" width="16.85546875" customWidth="1"/>
    <col min="4" max="4" width="15.5703125" customWidth="1"/>
    <col min="5" max="9" width="12.7109375" customWidth="1"/>
    <col min="12" max="12" width="12" customWidth="1"/>
  </cols>
  <sheetData>
    <row r="4" spans="2:12" ht="21.75" thickBot="1" x14ac:dyDescent="0.3">
      <c r="B4" s="273" t="s">
        <v>233</v>
      </c>
      <c r="C4" s="273"/>
      <c r="D4" s="273"/>
      <c r="E4" s="273"/>
      <c r="F4" s="273"/>
      <c r="G4" s="273"/>
      <c r="H4" s="273"/>
      <c r="I4" s="273"/>
      <c r="J4" s="273"/>
      <c r="K4" s="273"/>
      <c r="L4" s="12"/>
    </row>
    <row r="5" spans="2:12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2" ht="30" x14ac:dyDescent="0.25">
      <c r="B6" s="4"/>
      <c r="C6" s="4"/>
      <c r="D6" s="4"/>
      <c r="E6" s="13" t="s">
        <v>234</v>
      </c>
      <c r="F6" s="13" t="s">
        <v>235</v>
      </c>
      <c r="G6" s="13" t="s">
        <v>236</v>
      </c>
      <c r="H6" s="13" t="s">
        <v>237</v>
      </c>
      <c r="I6" s="13" t="s">
        <v>238</v>
      </c>
      <c r="J6" s="14" t="s">
        <v>324</v>
      </c>
      <c r="K6" s="14" t="s">
        <v>325</v>
      </c>
      <c r="L6" s="14" t="str">
        <f>CONCATENATE("cuota ",I6)</f>
        <v>cuota julio 2026</v>
      </c>
    </row>
    <row r="7" spans="2:12" x14ac:dyDescent="0.25">
      <c r="B7" s="274" t="s">
        <v>53</v>
      </c>
      <c r="C7" s="277" t="s">
        <v>8</v>
      </c>
      <c r="D7" s="15" t="s">
        <v>32</v>
      </c>
      <c r="E7" s="16">
        <v>18083</v>
      </c>
      <c r="F7" s="16">
        <v>17745</v>
      </c>
      <c r="G7" s="16">
        <v>21632</v>
      </c>
      <c r="H7" s="16">
        <v>23873</v>
      </c>
      <c r="I7" s="16">
        <v>21827</v>
      </c>
      <c r="J7" s="17">
        <v>-8.570351443052826E-2</v>
      </c>
      <c r="K7" s="16">
        <v>-2046</v>
      </c>
      <c r="L7" s="18">
        <f>I7/$I$7</f>
        <v>1</v>
      </c>
    </row>
    <row r="8" spans="2:12" x14ac:dyDescent="0.25">
      <c r="B8" s="275"/>
      <c r="C8" s="278"/>
      <c r="D8" s="19" t="s">
        <v>33</v>
      </c>
      <c r="E8" s="20">
        <v>18083</v>
      </c>
      <c r="F8" s="20">
        <v>17745</v>
      </c>
      <c r="G8" s="20">
        <v>21632</v>
      </c>
      <c r="H8" s="20">
        <v>23873</v>
      </c>
      <c r="I8" s="20">
        <v>21827</v>
      </c>
      <c r="J8" s="21">
        <v>-8.570351443052826E-2</v>
      </c>
      <c r="K8" s="20">
        <v>-2046</v>
      </c>
      <c r="L8" s="22">
        <f>I8/$I$7</f>
        <v>1</v>
      </c>
    </row>
    <row r="9" spans="2:12" x14ac:dyDescent="0.25">
      <c r="B9" s="275"/>
      <c r="C9" s="279"/>
      <c r="D9" s="23" t="s">
        <v>34</v>
      </c>
      <c r="E9" s="24" t="s">
        <v>239</v>
      </c>
      <c r="F9" s="24" t="s">
        <v>239</v>
      </c>
      <c r="G9" s="24" t="s">
        <v>239</v>
      </c>
      <c r="H9" s="24" t="s">
        <v>239</v>
      </c>
      <c r="I9" s="24" t="s">
        <v>239</v>
      </c>
      <c r="J9" s="25" t="s">
        <v>239</v>
      </c>
      <c r="K9" s="24" t="s">
        <v>239</v>
      </c>
      <c r="L9" s="25" t="str">
        <f>IFERROR(I9/$I$7,"-")</f>
        <v>-</v>
      </c>
    </row>
    <row r="10" spans="2:12" x14ac:dyDescent="0.25">
      <c r="B10" s="275"/>
      <c r="C10" s="280" t="s">
        <v>35</v>
      </c>
      <c r="D10" s="26" t="s">
        <v>32</v>
      </c>
      <c r="E10" s="27">
        <v>18761</v>
      </c>
      <c r="F10" s="27">
        <v>18584</v>
      </c>
      <c r="G10" s="27">
        <v>22231</v>
      </c>
      <c r="H10" s="27">
        <v>24531</v>
      </c>
      <c r="I10" s="27">
        <v>22538</v>
      </c>
      <c r="J10" s="28">
        <v>-8.1244140067669446E-2</v>
      </c>
      <c r="K10" s="27">
        <v>-1993</v>
      </c>
      <c r="L10" s="18">
        <f>I10/$I$10</f>
        <v>1</v>
      </c>
    </row>
    <row r="11" spans="2:12" x14ac:dyDescent="0.25">
      <c r="B11" s="275"/>
      <c r="C11" s="281"/>
      <c r="D11" s="4" t="s">
        <v>33</v>
      </c>
      <c r="E11" s="29">
        <v>18761</v>
      </c>
      <c r="F11" s="29">
        <v>18584</v>
      </c>
      <c r="G11" s="29">
        <v>22231</v>
      </c>
      <c r="H11" s="29">
        <v>24531</v>
      </c>
      <c r="I11" s="29">
        <v>22538</v>
      </c>
      <c r="J11" s="30">
        <v>-8.1244140067669446E-2</v>
      </c>
      <c r="K11" s="29">
        <v>-1993</v>
      </c>
      <c r="L11" s="31">
        <f>I11/$I$10</f>
        <v>1</v>
      </c>
    </row>
    <row r="12" spans="2:12" x14ac:dyDescent="0.25">
      <c r="B12" s="275"/>
      <c r="C12" s="282"/>
      <c r="D12" s="32" t="s">
        <v>34</v>
      </c>
      <c r="E12" s="33" t="s">
        <v>239</v>
      </c>
      <c r="F12" s="33" t="s">
        <v>239</v>
      </c>
      <c r="G12" s="33" t="s">
        <v>239</v>
      </c>
      <c r="H12" s="33" t="s">
        <v>239</v>
      </c>
      <c r="I12" s="33" t="s">
        <v>239</v>
      </c>
      <c r="J12" s="34" t="s">
        <v>239</v>
      </c>
      <c r="K12" s="33" t="s">
        <v>239</v>
      </c>
      <c r="L12" s="34" t="str">
        <f>IFERROR(I12/$I$10,"-")</f>
        <v>-</v>
      </c>
    </row>
    <row r="13" spans="2:12" x14ac:dyDescent="0.25">
      <c r="B13" s="275"/>
      <c r="C13" s="277" t="s">
        <v>21</v>
      </c>
      <c r="D13" s="15" t="s">
        <v>32</v>
      </c>
      <c r="E13" s="16">
        <v>43286</v>
      </c>
      <c r="F13" s="16">
        <v>41786</v>
      </c>
      <c r="G13" s="16">
        <v>45242</v>
      </c>
      <c r="H13" s="16">
        <v>49837</v>
      </c>
      <c r="I13" s="16">
        <v>47307</v>
      </c>
      <c r="J13" s="17">
        <v>-5.0765495515380121E-2</v>
      </c>
      <c r="K13" s="16">
        <v>-2530</v>
      </c>
      <c r="L13" s="18">
        <f>I13/$I$13</f>
        <v>1</v>
      </c>
    </row>
    <row r="14" spans="2:12" x14ac:dyDescent="0.25">
      <c r="B14" s="275"/>
      <c r="C14" s="278"/>
      <c r="D14" s="19" t="s">
        <v>33</v>
      </c>
      <c r="E14" s="20">
        <v>43286</v>
      </c>
      <c r="F14" s="20">
        <v>41786</v>
      </c>
      <c r="G14" s="20">
        <v>45242</v>
      </c>
      <c r="H14" s="20">
        <v>49837</v>
      </c>
      <c r="I14" s="20">
        <v>47307</v>
      </c>
      <c r="J14" s="21">
        <v>-5.0765495515380121E-2</v>
      </c>
      <c r="K14" s="20">
        <v>-2530</v>
      </c>
      <c r="L14" s="22">
        <f>I14/$I$13</f>
        <v>1</v>
      </c>
    </row>
    <row r="15" spans="2:12" x14ac:dyDescent="0.25">
      <c r="B15" s="275"/>
      <c r="C15" s="279"/>
      <c r="D15" s="23" t="s">
        <v>34</v>
      </c>
      <c r="E15" s="24" t="s">
        <v>239</v>
      </c>
      <c r="F15" s="24" t="s">
        <v>239</v>
      </c>
      <c r="G15" s="24" t="s">
        <v>239</v>
      </c>
      <c r="H15" s="24" t="s">
        <v>239</v>
      </c>
      <c r="I15" s="24" t="s">
        <v>239</v>
      </c>
      <c r="J15" s="25" t="s">
        <v>239</v>
      </c>
      <c r="K15" s="24" t="s">
        <v>239</v>
      </c>
      <c r="L15" s="25" t="str">
        <f>IFERROR(I15/$I$13,"-")</f>
        <v>-</v>
      </c>
    </row>
    <row r="16" spans="2:12" x14ac:dyDescent="0.25">
      <c r="B16" s="275"/>
      <c r="C16" s="280" t="s">
        <v>22</v>
      </c>
      <c r="D16" s="26" t="s">
        <v>32</v>
      </c>
      <c r="E16" s="35">
        <v>2.3937399767737655</v>
      </c>
      <c r="F16" s="35">
        <v>2.3548041701887854</v>
      </c>
      <c r="G16" s="35">
        <v>2.0914386094674557</v>
      </c>
      <c r="H16" s="35">
        <v>2.0875884890880911</v>
      </c>
      <c r="I16" s="35">
        <v>2.1673615247170934</v>
      </c>
      <c r="J16" s="36">
        <v>3.8213007997495163E-2</v>
      </c>
      <c r="K16" s="37">
        <v>7.9773035629002287E-2</v>
      </c>
      <c r="L16" s="38"/>
    </row>
    <row r="17" spans="2:12" x14ac:dyDescent="0.25">
      <c r="B17" s="275"/>
      <c r="C17" s="281"/>
      <c r="D17" s="4" t="s">
        <v>33</v>
      </c>
      <c r="E17" s="39">
        <f>E14/E8</f>
        <v>2.3937399767737655</v>
      </c>
      <c r="F17" s="39">
        <f t="shared" ref="F17:I17" si="0">F14/F8</f>
        <v>2.3548041701887854</v>
      </c>
      <c r="G17" s="39">
        <f t="shared" si="0"/>
        <v>2.0914386094674557</v>
      </c>
      <c r="H17" s="39">
        <f t="shared" si="0"/>
        <v>2.0875884890880911</v>
      </c>
      <c r="I17" s="39">
        <f t="shared" si="0"/>
        <v>2.1673615247170934</v>
      </c>
      <c r="J17" s="40">
        <v>3.8213007997495163E-2</v>
      </c>
      <c r="K17" s="41">
        <v>7.9773035629002287E-2</v>
      </c>
      <c r="L17" s="42"/>
    </row>
    <row r="18" spans="2:12" x14ac:dyDescent="0.25">
      <c r="B18" s="275"/>
      <c r="C18" s="282"/>
      <c r="D18" s="32" t="s">
        <v>34</v>
      </c>
      <c r="E18" s="43" t="str">
        <f>IFERROR(E15/E9,"-")</f>
        <v>-</v>
      </c>
      <c r="F18" s="43" t="str">
        <f t="shared" ref="F18:H18" si="1">IFERROR(F15/F9,"-")</f>
        <v>-</v>
      </c>
      <c r="G18" s="43" t="str">
        <f t="shared" si="1"/>
        <v>-</v>
      </c>
      <c r="H18" s="43" t="str">
        <f t="shared" si="1"/>
        <v>-</v>
      </c>
      <c r="I18" s="43" t="str">
        <f>IFERROR(I15/I9,"-")</f>
        <v>-</v>
      </c>
      <c r="J18" s="34" t="s">
        <v>239</v>
      </c>
      <c r="K18" s="33" t="s">
        <v>239</v>
      </c>
      <c r="L18" s="34"/>
    </row>
    <row r="19" spans="2:12" x14ac:dyDescent="0.25">
      <c r="B19" s="275"/>
      <c r="C19" s="283" t="s">
        <v>36</v>
      </c>
      <c r="D19" s="15" t="s">
        <v>32</v>
      </c>
      <c r="E19" s="18">
        <v>0.52890000000000004</v>
      </c>
      <c r="F19" s="18">
        <v>0.50939999999999996</v>
      </c>
      <c r="G19" s="18">
        <v>0.52629999999999999</v>
      </c>
      <c r="H19" s="18">
        <v>0.60099999999999998</v>
      </c>
      <c r="I19" s="18">
        <v>0.52190000000000003</v>
      </c>
      <c r="J19" s="17">
        <v>-0.1316139767054908</v>
      </c>
      <c r="K19" s="44">
        <v>-7.9099999999999948</v>
      </c>
      <c r="L19" s="18"/>
    </row>
    <row r="20" spans="2:12" x14ac:dyDescent="0.25">
      <c r="B20" s="275"/>
      <c r="C20" s="284"/>
      <c r="D20" s="19" t="s">
        <v>33</v>
      </c>
      <c r="E20" s="22">
        <v>0.52890000000000004</v>
      </c>
      <c r="F20" s="22">
        <v>0.50939999999999996</v>
      </c>
      <c r="G20" s="22">
        <v>0.52629999999999999</v>
      </c>
      <c r="H20" s="22">
        <v>0.60099999999999998</v>
      </c>
      <c r="I20" s="22">
        <v>0.52190000000000003</v>
      </c>
      <c r="J20" s="21">
        <v>-0.1316139767054908</v>
      </c>
      <c r="K20" s="46">
        <v>-7.9099999999999948</v>
      </c>
      <c r="L20" s="22"/>
    </row>
    <row r="21" spans="2:12" x14ac:dyDescent="0.25">
      <c r="B21" s="275"/>
      <c r="C21" s="285"/>
      <c r="D21" s="23" t="s">
        <v>34</v>
      </c>
      <c r="E21" s="25" t="s">
        <v>239</v>
      </c>
      <c r="F21" s="25" t="s">
        <v>239</v>
      </c>
      <c r="G21" s="25" t="s">
        <v>239</v>
      </c>
      <c r="H21" s="25" t="s">
        <v>239</v>
      </c>
      <c r="I21" s="25" t="s">
        <v>239</v>
      </c>
      <c r="J21" s="25" t="s">
        <v>239</v>
      </c>
      <c r="K21" s="24" t="s">
        <v>239</v>
      </c>
      <c r="L21" s="47"/>
    </row>
    <row r="22" spans="2:12" x14ac:dyDescent="0.25">
      <c r="B22" s="275"/>
      <c r="C22" s="286" t="s">
        <v>37</v>
      </c>
      <c r="D22" s="26" t="s">
        <v>32</v>
      </c>
      <c r="E22" s="27">
        <v>2640</v>
      </c>
      <c r="F22" s="27">
        <v>2646</v>
      </c>
      <c r="G22" s="27">
        <v>2773</v>
      </c>
      <c r="H22" s="27">
        <v>2675</v>
      </c>
      <c r="I22" s="27">
        <v>2924</v>
      </c>
      <c r="J22" s="36">
        <v>9.3084112149532716E-2</v>
      </c>
      <c r="K22" s="27">
        <v>249</v>
      </c>
      <c r="L22" s="38">
        <f>I22/$I$22</f>
        <v>1</v>
      </c>
    </row>
    <row r="23" spans="2:12" x14ac:dyDescent="0.25">
      <c r="B23" s="275"/>
      <c r="C23" s="287"/>
      <c r="D23" s="4" t="s">
        <v>33</v>
      </c>
      <c r="E23" s="29">
        <v>2640</v>
      </c>
      <c r="F23" s="29">
        <v>2646</v>
      </c>
      <c r="G23" s="29">
        <v>2773</v>
      </c>
      <c r="H23" s="29">
        <v>2675</v>
      </c>
      <c r="I23" s="29">
        <v>2924</v>
      </c>
      <c r="J23" s="40">
        <v>9.3084112149532716E-2</v>
      </c>
      <c r="K23" s="29">
        <v>249</v>
      </c>
      <c r="L23" s="42">
        <f>I23/$I$22</f>
        <v>1</v>
      </c>
    </row>
    <row r="24" spans="2:12" x14ac:dyDescent="0.25">
      <c r="B24" s="276"/>
      <c r="C24" s="288"/>
      <c r="D24" s="32" t="s">
        <v>34</v>
      </c>
      <c r="E24" s="33" t="s">
        <v>239</v>
      </c>
      <c r="F24" s="33" t="s">
        <v>239</v>
      </c>
      <c r="G24" s="33" t="s">
        <v>239</v>
      </c>
      <c r="H24" s="33" t="s">
        <v>239</v>
      </c>
      <c r="I24" s="33" t="s">
        <v>239</v>
      </c>
      <c r="J24" s="34" t="s">
        <v>239</v>
      </c>
      <c r="K24" s="33" t="s">
        <v>239</v>
      </c>
      <c r="L24" s="34" t="str">
        <f>IFERROR(I24/$I$22,"-")</f>
        <v>-</v>
      </c>
    </row>
    <row r="25" spans="2:12" ht="7.5" customHeight="1" x14ac:dyDescent="0.25">
      <c r="B25" s="289"/>
      <c r="C25" s="289"/>
      <c r="D25" s="289"/>
      <c r="E25" s="289"/>
      <c r="F25" s="289"/>
      <c r="G25" s="289"/>
      <c r="H25" s="289"/>
      <c r="I25" s="289"/>
      <c r="J25" s="289"/>
      <c r="K25" s="289"/>
      <c r="L25" s="48"/>
    </row>
    <row r="26" spans="2:12" ht="24.75" customHeight="1" x14ac:dyDescent="0.25">
      <c r="B26" s="290" t="s">
        <v>38</v>
      </c>
      <c r="C26" s="291"/>
      <c r="D26" s="291"/>
      <c r="E26" s="291"/>
      <c r="F26" s="291"/>
      <c r="G26" s="291"/>
      <c r="H26" s="291"/>
      <c r="I26" s="291"/>
      <c r="J26" s="291"/>
      <c r="K26" s="291"/>
    </row>
    <row r="29" spans="2:12" ht="21.75" customHeight="1" thickBot="1" x14ac:dyDescent="0.3">
      <c r="B29" s="273" t="s">
        <v>233</v>
      </c>
      <c r="C29" s="273"/>
      <c r="D29" s="273"/>
      <c r="E29" s="273"/>
      <c r="F29" s="273"/>
      <c r="G29" s="273"/>
      <c r="H29" s="273"/>
      <c r="I29" s="273"/>
      <c r="J29" s="273"/>
      <c r="K29" s="273"/>
      <c r="L29" s="12"/>
    </row>
    <row r="30" spans="2:12" ht="6" customHeight="1" thickBot="1" x14ac:dyDescent="0.3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2:12" ht="45" x14ac:dyDescent="0.25">
      <c r="B31" s="4"/>
      <c r="C31" s="4"/>
      <c r="D31" s="4"/>
      <c r="E31" s="13" t="s">
        <v>240</v>
      </c>
      <c r="F31" s="13" t="s">
        <v>241</v>
      </c>
      <c r="G31" s="13" t="s">
        <v>242</v>
      </c>
      <c r="H31" s="13" t="s">
        <v>243</v>
      </c>
      <c r="I31" s="13" t="s">
        <v>244</v>
      </c>
      <c r="J31" s="14" t="s">
        <v>324</v>
      </c>
      <c r="K31" s="14" t="s">
        <v>325</v>
      </c>
      <c r="L31" s="14" t="str">
        <f>CONCATENATE("cuota ",I31)</f>
        <v>cuota acumulado a julio 2026</v>
      </c>
    </row>
    <row r="32" spans="2:12" ht="15" customHeight="1" x14ac:dyDescent="0.25">
      <c r="B32" s="274" t="s">
        <v>53</v>
      </c>
      <c r="C32" s="277" t="s">
        <v>8</v>
      </c>
      <c r="D32" s="15" t="s">
        <v>32</v>
      </c>
      <c r="E32" s="50">
        <v>122504</v>
      </c>
      <c r="F32" s="50">
        <v>144321</v>
      </c>
      <c r="G32" s="50">
        <v>146578</v>
      </c>
      <c r="H32" s="50">
        <v>164634</v>
      </c>
      <c r="I32" s="50">
        <v>168537</v>
      </c>
      <c r="J32" s="17">
        <v>2.3707132184117574E-2</v>
      </c>
      <c r="K32" s="16">
        <v>3903</v>
      </c>
      <c r="L32" s="18">
        <f>I32/$I$32</f>
        <v>1</v>
      </c>
    </row>
    <row r="33" spans="1:12" x14ac:dyDescent="0.25">
      <c r="B33" s="275"/>
      <c r="C33" s="278"/>
      <c r="D33" s="19" t="s">
        <v>33</v>
      </c>
      <c r="E33" s="51">
        <v>122504</v>
      </c>
      <c r="F33" s="51">
        <v>144321</v>
      </c>
      <c r="G33" s="51">
        <v>146578</v>
      </c>
      <c r="H33" s="51">
        <v>164634</v>
      </c>
      <c r="I33" s="51">
        <v>168537</v>
      </c>
      <c r="J33" s="21">
        <v>2.3707132184117574E-2</v>
      </c>
      <c r="K33" s="20">
        <v>3903</v>
      </c>
      <c r="L33" s="22">
        <f>I33/$I$32</f>
        <v>1</v>
      </c>
    </row>
    <row r="34" spans="1:12" x14ac:dyDescent="0.25">
      <c r="B34" s="275"/>
      <c r="C34" s="279"/>
      <c r="D34" s="23" t="s">
        <v>34</v>
      </c>
      <c r="E34" s="24" t="s">
        <v>239</v>
      </c>
      <c r="F34" s="24" t="s">
        <v>239</v>
      </c>
      <c r="G34" s="24" t="s">
        <v>239</v>
      </c>
      <c r="H34" s="24" t="s">
        <v>239</v>
      </c>
      <c r="I34" s="24" t="s">
        <v>239</v>
      </c>
      <c r="J34" s="25" t="s">
        <v>239</v>
      </c>
      <c r="K34" s="24" t="s">
        <v>239</v>
      </c>
      <c r="L34" s="25" t="str">
        <f>IFERROR(I34/I32,"-")</f>
        <v>-</v>
      </c>
    </row>
    <row r="35" spans="1:12" x14ac:dyDescent="0.25">
      <c r="B35" s="275"/>
      <c r="C35" s="280" t="s">
        <v>35</v>
      </c>
      <c r="D35" s="26" t="s">
        <v>32</v>
      </c>
      <c r="E35" s="52">
        <v>128348</v>
      </c>
      <c r="F35" s="52">
        <v>150641</v>
      </c>
      <c r="G35" s="52">
        <v>153105</v>
      </c>
      <c r="H35" s="52">
        <v>171430</v>
      </c>
      <c r="I35" s="52">
        <v>175021</v>
      </c>
      <c r="J35" s="28">
        <v>2.0947325438954723E-2</v>
      </c>
      <c r="K35" s="27">
        <v>3591</v>
      </c>
      <c r="L35" s="18">
        <f>I35/$I$35</f>
        <v>1</v>
      </c>
    </row>
    <row r="36" spans="1:12" x14ac:dyDescent="0.25">
      <c r="B36" s="275"/>
      <c r="C36" s="281"/>
      <c r="D36" s="4" t="s">
        <v>33</v>
      </c>
      <c r="E36" s="53">
        <v>128348</v>
      </c>
      <c r="F36" s="53">
        <v>150641</v>
      </c>
      <c r="G36" s="53">
        <v>153105</v>
      </c>
      <c r="H36" s="53">
        <v>171430</v>
      </c>
      <c r="I36" s="53">
        <v>175021</v>
      </c>
      <c r="J36" s="30">
        <v>2.0947325438954723E-2</v>
      </c>
      <c r="K36" s="29">
        <v>3591</v>
      </c>
      <c r="L36" s="31">
        <f>I36/$I$35</f>
        <v>1</v>
      </c>
    </row>
    <row r="37" spans="1:12" x14ac:dyDescent="0.25">
      <c r="B37" s="275"/>
      <c r="C37" s="282"/>
      <c r="D37" s="32" t="s">
        <v>34</v>
      </c>
      <c r="E37" s="33" t="s">
        <v>239</v>
      </c>
      <c r="F37" s="33" t="s">
        <v>239</v>
      </c>
      <c r="G37" s="33" t="s">
        <v>239</v>
      </c>
      <c r="H37" s="33" t="s">
        <v>239</v>
      </c>
      <c r="I37" s="33" t="s">
        <v>239</v>
      </c>
      <c r="J37" s="34" t="s">
        <v>239</v>
      </c>
      <c r="K37" s="33" t="s">
        <v>239</v>
      </c>
      <c r="L37" s="34" t="str">
        <f>IFERROR(I37/I35,"-")</f>
        <v>-</v>
      </c>
    </row>
    <row r="38" spans="1:12" x14ac:dyDescent="0.25">
      <c r="B38" s="275"/>
      <c r="C38" s="277" t="s">
        <v>21</v>
      </c>
      <c r="D38" s="15" t="s">
        <v>32</v>
      </c>
      <c r="E38" s="50">
        <v>301230</v>
      </c>
      <c r="F38" s="50">
        <v>335879</v>
      </c>
      <c r="G38" s="50">
        <v>346106</v>
      </c>
      <c r="H38" s="50">
        <v>351506</v>
      </c>
      <c r="I38" s="50">
        <v>362919</v>
      </c>
      <c r="J38" s="17">
        <v>3.2468862551421562E-2</v>
      </c>
      <c r="K38" s="16">
        <v>11413</v>
      </c>
      <c r="L38" s="18">
        <f>I38/$I$38</f>
        <v>1</v>
      </c>
    </row>
    <row r="39" spans="1:12" x14ac:dyDescent="0.25">
      <c r="B39" s="275"/>
      <c r="C39" s="278"/>
      <c r="D39" s="19" t="s">
        <v>33</v>
      </c>
      <c r="E39" s="51">
        <v>301230</v>
      </c>
      <c r="F39" s="51">
        <v>335879</v>
      </c>
      <c r="G39" s="51">
        <v>346106</v>
      </c>
      <c r="H39" s="51">
        <v>351506</v>
      </c>
      <c r="I39" s="51">
        <v>362919</v>
      </c>
      <c r="J39" s="21">
        <v>3.2468862551421562E-2</v>
      </c>
      <c r="K39" s="20">
        <v>11413</v>
      </c>
      <c r="L39" s="22">
        <f>I39/$I$38</f>
        <v>1</v>
      </c>
    </row>
    <row r="40" spans="1:12" x14ac:dyDescent="0.25">
      <c r="B40" s="275"/>
      <c r="C40" s="279"/>
      <c r="D40" s="23" t="s">
        <v>34</v>
      </c>
      <c r="E40" s="24" t="s">
        <v>239</v>
      </c>
      <c r="F40" s="24" t="s">
        <v>239</v>
      </c>
      <c r="G40" s="24" t="s">
        <v>239</v>
      </c>
      <c r="H40" s="24" t="s">
        <v>239</v>
      </c>
      <c r="I40" s="24" t="s">
        <v>239</v>
      </c>
      <c r="J40" s="25" t="s">
        <v>239</v>
      </c>
      <c r="K40" s="24" t="s">
        <v>239</v>
      </c>
      <c r="L40" s="25" t="str">
        <f>IFERROR(I40/I38,"-")</f>
        <v>-</v>
      </c>
    </row>
    <row r="41" spans="1:12" x14ac:dyDescent="0.25">
      <c r="B41" s="275"/>
      <c r="C41" s="280" t="s">
        <v>22</v>
      </c>
      <c r="D41" s="26" t="s">
        <v>32</v>
      </c>
      <c r="E41" s="54">
        <v>2.4589401162411022</v>
      </c>
      <c r="F41" s="54">
        <v>2.3273051045932331</v>
      </c>
      <c r="G41" s="54">
        <v>2.3612411139461584</v>
      </c>
      <c r="H41" s="54">
        <v>2.1350753793262629</v>
      </c>
      <c r="I41" s="54">
        <v>2.1533491162178038</v>
      </c>
      <c r="J41" s="36">
        <v>8.5588251677124472E-3</v>
      </c>
      <c r="K41" s="37">
        <v>1.8273736891540882E-2</v>
      </c>
      <c r="L41" s="38"/>
    </row>
    <row r="42" spans="1:12" x14ac:dyDescent="0.25">
      <c r="B42" s="275"/>
      <c r="C42" s="281"/>
      <c r="D42" s="4" t="s">
        <v>33</v>
      </c>
      <c r="E42" s="55">
        <f t="shared" ref="E42:I42" si="2">E39/E33</f>
        <v>2.4589401162411022</v>
      </c>
      <c r="F42" s="55">
        <f t="shared" si="2"/>
        <v>2.3273051045932331</v>
      </c>
      <c r="G42" s="55">
        <f t="shared" si="2"/>
        <v>2.3612411139461584</v>
      </c>
      <c r="H42" s="55">
        <f t="shared" si="2"/>
        <v>2.1350753793262629</v>
      </c>
      <c r="I42" s="55">
        <f t="shared" si="2"/>
        <v>2.1533491162178038</v>
      </c>
      <c r="J42" s="40">
        <v>8.5588251677124472E-3</v>
      </c>
      <c r="K42" s="41">
        <v>1.8273736891540882E-2</v>
      </c>
      <c r="L42" s="42"/>
    </row>
    <row r="43" spans="1:12" x14ac:dyDescent="0.25">
      <c r="B43" s="275"/>
      <c r="C43" s="282"/>
      <c r="D43" s="32" t="s">
        <v>34</v>
      </c>
      <c r="E43" s="43" t="str">
        <f>IFERROR(E40/E34,"-")</f>
        <v>-</v>
      </c>
      <c r="F43" s="43" t="str">
        <f t="shared" ref="F43:I43" si="3">IFERROR(F40/F34,"-")</f>
        <v>-</v>
      </c>
      <c r="G43" s="43" t="str">
        <f t="shared" si="3"/>
        <v>-</v>
      </c>
      <c r="H43" s="43" t="str">
        <f t="shared" si="3"/>
        <v>-</v>
      </c>
      <c r="I43" s="43" t="str">
        <f t="shared" si="3"/>
        <v>-</v>
      </c>
      <c r="J43" s="34" t="s">
        <v>239</v>
      </c>
      <c r="K43" s="33" t="s">
        <v>239</v>
      </c>
      <c r="L43" s="56"/>
    </row>
    <row r="44" spans="1:12" x14ac:dyDescent="0.25">
      <c r="A44" s="57"/>
      <c r="B44" s="275"/>
      <c r="C44" s="283" t="s">
        <v>36</v>
      </c>
      <c r="D44" s="15" t="s">
        <v>32</v>
      </c>
      <c r="E44" s="58">
        <v>0.54580441057363549</v>
      </c>
      <c r="F44" s="58">
        <v>0.56550617566639283</v>
      </c>
      <c r="G44" s="58">
        <v>0.58597576564084597</v>
      </c>
      <c r="H44" s="58">
        <v>0.61904040688664097</v>
      </c>
      <c r="I44" s="58">
        <v>0.57580690456131334</v>
      </c>
      <c r="J44" s="58">
        <v>-6.9839548185171352E-2</v>
      </c>
      <c r="K44" s="44">
        <v>-4.3233502325327633</v>
      </c>
      <c r="L44" s="18"/>
    </row>
    <row r="45" spans="1:12" x14ac:dyDescent="0.25">
      <c r="B45" s="275"/>
      <c r="C45" s="284"/>
      <c r="D45" s="19" t="s">
        <v>33</v>
      </c>
      <c r="E45" s="59">
        <v>0.54580441057363549</v>
      </c>
      <c r="F45" s="59">
        <v>0.56550617566639283</v>
      </c>
      <c r="G45" s="59">
        <v>0.58597576564084597</v>
      </c>
      <c r="H45" s="59">
        <v>0.61904040688664097</v>
      </c>
      <c r="I45" s="59">
        <v>0.57580690456131334</v>
      </c>
      <c r="J45" s="59">
        <v>-6.9839548185171352E-2</v>
      </c>
      <c r="K45" s="46">
        <v>-4.3233502325327633</v>
      </c>
      <c r="L45" s="22"/>
    </row>
    <row r="46" spans="1:12" x14ac:dyDescent="0.25">
      <c r="B46" s="275"/>
      <c r="C46" s="285"/>
      <c r="D46" s="23" t="s">
        <v>34</v>
      </c>
      <c r="E46" s="60" t="s">
        <v>239</v>
      </c>
      <c r="F46" s="60" t="s">
        <v>239</v>
      </c>
      <c r="G46" s="60" t="s">
        <v>239</v>
      </c>
      <c r="H46" s="60" t="s">
        <v>239</v>
      </c>
      <c r="I46" s="60" t="s">
        <v>239</v>
      </c>
      <c r="J46" s="25" t="s">
        <v>239</v>
      </c>
      <c r="K46" s="24" t="s">
        <v>239</v>
      </c>
      <c r="L46" s="47"/>
    </row>
    <row r="47" spans="1:12" x14ac:dyDescent="0.25">
      <c r="B47" s="275"/>
      <c r="C47" s="45"/>
      <c r="D47" s="19"/>
      <c r="E47" s="61"/>
      <c r="F47" s="61"/>
      <c r="G47" s="61"/>
      <c r="H47" s="61"/>
      <c r="I47" s="61"/>
      <c r="J47" s="62"/>
      <c r="K47" s="51"/>
      <c r="L47" s="63"/>
    </row>
    <row r="48" spans="1:12" x14ac:dyDescent="0.25">
      <c r="B48" s="275"/>
      <c r="C48" s="45"/>
      <c r="D48" s="19"/>
      <c r="E48" s="61"/>
      <c r="F48" s="61"/>
      <c r="G48" s="61"/>
      <c r="H48" s="61"/>
      <c r="I48" s="61"/>
      <c r="J48" s="62"/>
      <c r="K48" s="51"/>
      <c r="L48" s="63"/>
    </row>
    <row r="49" spans="2:12" x14ac:dyDescent="0.25">
      <c r="B49" s="275"/>
      <c r="C49" s="286" t="s">
        <v>39</v>
      </c>
      <c r="D49" s="26" t="s">
        <v>32</v>
      </c>
      <c r="E49" s="52">
        <v>2602.4285714285716</v>
      </c>
      <c r="F49" s="52">
        <v>2802</v>
      </c>
      <c r="G49" s="52">
        <v>2773</v>
      </c>
      <c r="H49" s="52">
        <v>2678.4285714285716</v>
      </c>
      <c r="I49" s="52">
        <v>2973.4285714285716</v>
      </c>
      <c r="J49" s="36">
        <v>0.11013920742439587</v>
      </c>
      <c r="K49" s="27">
        <v>295</v>
      </c>
      <c r="L49" s="38">
        <f>I49/$I$22</f>
        <v>1.0169044361930819</v>
      </c>
    </row>
    <row r="50" spans="2:12" x14ac:dyDescent="0.25">
      <c r="B50" s="275"/>
      <c r="C50" s="281"/>
      <c r="D50" s="4" t="s">
        <v>33</v>
      </c>
      <c r="E50" s="53">
        <v>2602.4285714285716</v>
      </c>
      <c r="F50" s="53">
        <v>2802</v>
      </c>
      <c r="G50" s="53">
        <v>2773</v>
      </c>
      <c r="H50" s="53">
        <v>2678.4285714285716</v>
      </c>
      <c r="I50" s="53">
        <v>2973.4285714285716</v>
      </c>
      <c r="J50" s="40">
        <v>0.11013920742439587</v>
      </c>
      <c r="K50" s="29">
        <v>295</v>
      </c>
      <c r="L50" s="42">
        <f>I50/$I$22</f>
        <v>1.0169044361930819</v>
      </c>
    </row>
    <row r="51" spans="2:12" x14ac:dyDescent="0.25">
      <c r="B51" s="276"/>
      <c r="C51" s="282"/>
      <c r="D51" s="32" t="s">
        <v>34</v>
      </c>
      <c r="E51" s="33" t="e">
        <v>#REF!</v>
      </c>
      <c r="F51" s="33" t="e">
        <v>#REF!</v>
      </c>
      <c r="G51" s="33" t="e">
        <v>#REF!</v>
      </c>
      <c r="H51" s="33" t="e">
        <v>#REF!</v>
      </c>
      <c r="I51" s="33" t="e">
        <v>#REF!</v>
      </c>
      <c r="J51" s="34" t="s">
        <v>239</v>
      </c>
      <c r="K51" s="33" t="s">
        <v>239</v>
      </c>
      <c r="L51" s="34" t="str">
        <f>IFERROR(I51/I49,"-")</f>
        <v>-</v>
      </c>
    </row>
    <row r="52" spans="2:12" ht="6" customHeight="1" x14ac:dyDescent="0.25">
      <c r="B52" s="289"/>
      <c r="C52" s="289"/>
      <c r="D52" s="289"/>
      <c r="E52" s="289"/>
      <c r="F52" s="289"/>
      <c r="G52" s="289"/>
      <c r="H52" s="289"/>
      <c r="I52" s="289"/>
      <c r="J52" s="289"/>
      <c r="K52" s="289"/>
      <c r="L52" s="48"/>
    </row>
    <row r="53" spans="2:12" ht="28.5" customHeight="1" x14ac:dyDescent="0.25">
      <c r="B53" s="290" t="s">
        <v>40</v>
      </c>
      <c r="C53" s="291"/>
      <c r="D53" s="291"/>
      <c r="E53" s="291"/>
      <c r="F53" s="291"/>
      <c r="G53" s="291"/>
      <c r="H53" s="291"/>
      <c r="I53" s="291"/>
      <c r="J53" s="291"/>
      <c r="K53" s="291"/>
    </row>
    <row r="54" spans="2:12" x14ac:dyDescent="0.25">
      <c r="B54" s="64"/>
    </row>
    <row r="56" spans="2:12" ht="21.75" thickBot="1" x14ac:dyDescent="0.3">
      <c r="B56" s="273" t="s">
        <v>233</v>
      </c>
      <c r="C56" s="273"/>
      <c r="D56" s="273"/>
      <c r="E56" s="273"/>
      <c r="F56" s="273"/>
      <c r="G56" s="273"/>
      <c r="H56" s="273"/>
      <c r="I56" s="273"/>
      <c r="J56" s="273"/>
      <c r="K56" s="273"/>
      <c r="L56" s="12"/>
    </row>
    <row r="57" spans="2:12" ht="15.75" thickBot="1" x14ac:dyDescent="0.3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</row>
    <row r="58" spans="2:12" x14ac:dyDescent="0.25">
      <c r="B58" s="4"/>
      <c r="C58" s="4"/>
      <c r="D58" s="4"/>
      <c r="E58" s="14">
        <v>2021</v>
      </c>
      <c r="F58" s="14">
        <v>2022</v>
      </c>
      <c r="G58" s="14">
        <v>2023</v>
      </c>
      <c r="H58" s="14">
        <v>2024</v>
      </c>
      <c r="I58" s="14">
        <v>2025</v>
      </c>
      <c r="J58" s="14" t="s">
        <v>326</v>
      </c>
      <c r="K58" s="14" t="s">
        <v>327</v>
      </c>
      <c r="L58" s="14" t="str">
        <f>CONCATENATE("cuota ",I58)</f>
        <v>cuota 2025</v>
      </c>
    </row>
    <row r="59" spans="2:12" x14ac:dyDescent="0.25">
      <c r="B59" s="275"/>
      <c r="C59" s="278"/>
      <c r="D59" s="19" t="s">
        <v>33</v>
      </c>
      <c r="E59" s="51">
        <v>164258</v>
      </c>
      <c r="F59" s="51">
        <v>229131</v>
      </c>
      <c r="G59" s="51">
        <v>240044</v>
      </c>
      <c r="H59" s="51">
        <v>250407</v>
      </c>
      <c r="I59" s="51">
        <v>282601</v>
      </c>
      <c r="J59" s="21">
        <v>0.12856669342310711</v>
      </c>
      <c r="K59" s="20">
        <v>32194</v>
      </c>
      <c r="L59" s="21" t="e">
        <f>I59/#REF!</f>
        <v>#REF!</v>
      </c>
    </row>
    <row r="60" spans="2:12" x14ac:dyDescent="0.25">
      <c r="B60" s="275"/>
      <c r="C60" s="279"/>
      <c r="D60" s="23" t="s">
        <v>34</v>
      </c>
      <c r="E60" s="24" t="s">
        <v>239</v>
      </c>
      <c r="F60" s="24" t="s">
        <v>239</v>
      </c>
      <c r="G60" s="24" t="s">
        <v>239</v>
      </c>
      <c r="H60" s="24" t="s">
        <v>239</v>
      </c>
      <c r="I60" s="24" t="s">
        <v>239</v>
      </c>
      <c r="J60" s="25" t="s">
        <v>239</v>
      </c>
      <c r="K60" s="24" t="s">
        <v>239</v>
      </c>
      <c r="L60" s="25" t="str">
        <f>IFERROR(I60/#REF!,"-")</f>
        <v>-</v>
      </c>
    </row>
    <row r="61" spans="2:12" x14ac:dyDescent="0.25">
      <c r="B61" s="275"/>
      <c r="C61" s="280" t="s">
        <v>35</v>
      </c>
      <c r="D61" s="26" t="s">
        <v>32</v>
      </c>
      <c r="E61" s="52">
        <v>164258</v>
      </c>
      <c r="F61" s="52">
        <v>229131</v>
      </c>
      <c r="G61" s="52">
        <v>240044</v>
      </c>
      <c r="H61" s="52">
        <v>250407</v>
      </c>
      <c r="I61" s="52">
        <v>282601</v>
      </c>
      <c r="J61" s="36">
        <v>0.12856669342310711</v>
      </c>
      <c r="K61" s="52">
        <v>32194</v>
      </c>
      <c r="L61" s="36">
        <f>I61/$I$61</f>
        <v>1</v>
      </c>
    </row>
    <row r="62" spans="2:12" x14ac:dyDescent="0.25">
      <c r="B62" s="275"/>
      <c r="C62" s="281"/>
      <c r="D62" s="4" t="s">
        <v>33</v>
      </c>
      <c r="E62" s="53">
        <v>164258</v>
      </c>
      <c r="F62" s="53">
        <v>229131</v>
      </c>
      <c r="G62" s="53">
        <v>240044</v>
      </c>
      <c r="H62" s="53">
        <v>250407</v>
      </c>
      <c r="I62" s="53">
        <v>282601</v>
      </c>
      <c r="J62" s="40">
        <v>0.12856669342310711</v>
      </c>
      <c r="K62" s="53">
        <v>32194</v>
      </c>
      <c r="L62" s="40">
        <f t="shared" ref="L62" si="4">I62/$I$61</f>
        <v>1</v>
      </c>
    </row>
    <row r="63" spans="2:12" x14ac:dyDescent="0.25">
      <c r="B63" s="275"/>
      <c r="C63" s="282"/>
      <c r="D63" s="32" t="s">
        <v>34</v>
      </c>
      <c r="E63" s="33" t="s">
        <v>239</v>
      </c>
      <c r="F63" s="33" t="s">
        <v>239</v>
      </c>
      <c r="G63" s="33" t="s">
        <v>239</v>
      </c>
      <c r="H63" s="33" t="s">
        <v>239</v>
      </c>
      <c r="I63" s="33" t="s">
        <v>239</v>
      </c>
      <c r="J63" s="34" t="s">
        <v>239</v>
      </c>
      <c r="K63" s="33" t="s">
        <v>239</v>
      </c>
      <c r="L63" s="65" t="str">
        <f>IFERROR(I63/I61,"-")</f>
        <v>-</v>
      </c>
    </row>
    <row r="64" spans="2:12" x14ac:dyDescent="0.25">
      <c r="B64" s="275"/>
      <c r="C64" s="277" t="s">
        <v>21</v>
      </c>
      <c r="D64" s="15" t="s">
        <v>32</v>
      </c>
      <c r="E64" s="50">
        <v>359169</v>
      </c>
      <c r="F64" s="50">
        <v>543499</v>
      </c>
      <c r="G64" s="50">
        <v>577841</v>
      </c>
      <c r="H64" s="50">
        <v>583363</v>
      </c>
      <c r="I64" s="50">
        <v>615470</v>
      </c>
      <c r="J64" s="17">
        <v>5.5037772364719739E-2</v>
      </c>
      <c r="K64" s="16">
        <v>32107</v>
      </c>
      <c r="L64" s="17">
        <f>I64/$I$64</f>
        <v>1</v>
      </c>
    </row>
    <row r="65" spans="2:12" x14ac:dyDescent="0.25">
      <c r="B65" s="275"/>
      <c r="C65" s="278"/>
      <c r="D65" s="19" t="s">
        <v>33</v>
      </c>
      <c r="E65" s="51">
        <v>359169</v>
      </c>
      <c r="F65" s="51">
        <v>543499</v>
      </c>
      <c r="G65" s="51">
        <v>577841</v>
      </c>
      <c r="H65" s="51">
        <v>583363</v>
      </c>
      <c r="I65" s="51">
        <v>615470</v>
      </c>
      <c r="J65" s="21">
        <v>5.5037772364719739E-2</v>
      </c>
      <c r="K65" s="20">
        <v>32107</v>
      </c>
      <c r="L65" s="21">
        <f t="shared" ref="L65" si="5">I65/$I$64</f>
        <v>1</v>
      </c>
    </row>
    <row r="66" spans="2:12" x14ac:dyDescent="0.25">
      <c r="B66" s="275"/>
      <c r="C66" s="279"/>
      <c r="D66" s="23" t="s">
        <v>34</v>
      </c>
      <c r="E66" s="24" t="s">
        <v>239</v>
      </c>
      <c r="F66" s="24" t="s">
        <v>239</v>
      </c>
      <c r="G66" s="24" t="s">
        <v>239</v>
      </c>
      <c r="H66" s="24" t="s">
        <v>239</v>
      </c>
      <c r="I66" s="24" t="s">
        <v>239</v>
      </c>
      <c r="J66" s="25" t="s">
        <v>239</v>
      </c>
      <c r="K66" s="24" t="s">
        <v>239</v>
      </c>
      <c r="L66" s="25" t="str">
        <f>IFERROR(I66/I64,"-")</f>
        <v>-</v>
      </c>
    </row>
    <row r="67" spans="2:12" x14ac:dyDescent="0.25">
      <c r="B67" s="275"/>
      <c r="C67" s="280" t="s">
        <v>22</v>
      </c>
      <c r="D67" s="26" t="s">
        <v>32</v>
      </c>
      <c r="E67" s="54">
        <v>2.1866149593931499</v>
      </c>
      <c r="F67" s="54">
        <v>2.3720011696365835</v>
      </c>
      <c r="G67" s="54">
        <v>2.4072295079235473</v>
      </c>
      <c r="H67" s="54">
        <v>2.3296593146357729</v>
      </c>
      <c r="I67" s="54">
        <v>2.1778762283219097</v>
      </c>
      <c r="J67" s="36">
        <v>-6.5152481893084646E-2</v>
      </c>
      <c r="K67" s="37">
        <v>-0.15178308631386317</v>
      </c>
      <c r="L67" s="36"/>
    </row>
    <row r="68" spans="2:12" x14ac:dyDescent="0.25">
      <c r="B68" s="275"/>
      <c r="C68" s="281"/>
      <c r="D68" s="4" t="s">
        <v>33</v>
      </c>
      <c r="E68" s="55">
        <f t="shared" ref="E68:I68" si="6">E65/E59</f>
        <v>2.1866149593931499</v>
      </c>
      <c r="F68" s="55">
        <f t="shared" si="6"/>
        <v>2.3720011696365835</v>
      </c>
      <c r="G68" s="55">
        <f t="shared" si="6"/>
        <v>2.4072295079235473</v>
      </c>
      <c r="H68" s="55">
        <f t="shared" si="6"/>
        <v>2.3296593146357729</v>
      </c>
      <c r="I68" s="55">
        <f t="shared" si="6"/>
        <v>2.1778762283219097</v>
      </c>
      <c r="J68" s="40">
        <v>-6.5152481893084646E-2</v>
      </c>
      <c r="K68" s="41">
        <v>-0.15178308631386317</v>
      </c>
      <c r="L68" s="40"/>
    </row>
    <row r="69" spans="2:12" x14ac:dyDescent="0.25">
      <c r="B69" s="275"/>
      <c r="C69" s="282"/>
      <c r="D69" s="32" t="s">
        <v>34</v>
      </c>
      <c r="E69" s="43" t="str">
        <f>IFERROR(E66/E60,"-")</f>
        <v>-</v>
      </c>
      <c r="F69" s="43" t="str">
        <f t="shared" ref="F69:I69" si="7">IFERROR(F66/F60,"-")</f>
        <v>-</v>
      </c>
      <c r="G69" s="43" t="str">
        <f t="shared" si="7"/>
        <v>-</v>
      </c>
      <c r="H69" s="43" t="str">
        <f t="shared" si="7"/>
        <v>-</v>
      </c>
      <c r="I69" s="43" t="str">
        <f t="shared" si="7"/>
        <v>-</v>
      </c>
      <c r="J69" s="34" t="s">
        <v>239</v>
      </c>
      <c r="K69" s="33" t="s">
        <v>239</v>
      </c>
      <c r="L69" s="65" t="str">
        <f>IFERROR(I69/I67,"-")</f>
        <v>-</v>
      </c>
    </row>
    <row r="70" spans="2:12" x14ac:dyDescent="0.25">
      <c r="B70" s="275"/>
      <c r="C70" s="283" t="s">
        <v>36</v>
      </c>
      <c r="D70" s="15" t="s">
        <v>32</v>
      </c>
      <c r="E70" s="58">
        <v>0.43287194104141685</v>
      </c>
      <c r="F70" s="58">
        <v>0.55540181632567553</v>
      </c>
      <c r="G70" s="58">
        <v>0.57078552018499329</v>
      </c>
      <c r="H70" s="58">
        <v>0.58707862058971227</v>
      </c>
      <c r="I70" s="58">
        <v>0.63035262548776616</v>
      </c>
      <c r="J70" s="58">
        <v>7.3710749089424876E-2</v>
      </c>
      <c r="K70" s="44">
        <v>4.3274004898053886E-2</v>
      </c>
      <c r="L70" s="17"/>
    </row>
    <row r="71" spans="2:12" x14ac:dyDescent="0.25">
      <c r="B71" s="275"/>
      <c r="C71" s="284"/>
      <c r="D71" s="19" t="s">
        <v>33</v>
      </c>
      <c r="E71" s="59">
        <v>0.43287194104141685</v>
      </c>
      <c r="F71" s="59">
        <v>0.55540181632567553</v>
      </c>
      <c r="G71" s="59">
        <v>0.57078552018499329</v>
      </c>
      <c r="H71" s="59">
        <v>0.58707862058971227</v>
      </c>
      <c r="I71" s="59">
        <v>0.63035262548776616</v>
      </c>
      <c r="J71" s="59">
        <v>7.3710749089424876E-2</v>
      </c>
      <c r="K71" s="46">
        <v>4.3274004898053886E-2</v>
      </c>
      <c r="L71" s="21"/>
    </row>
    <row r="72" spans="2:12" x14ac:dyDescent="0.25">
      <c r="B72" s="275"/>
      <c r="C72" s="285"/>
      <c r="D72" s="23" t="s">
        <v>34</v>
      </c>
      <c r="E72" s="60" t="s">
        <v>239</v>
      </c>
      <c r="F72" s="60" t="s">
        <v>239</v>
      </c>
      <c r="G72" s="60" t="s">
        <v>239</v>
      </c>
      <c r="H72" s="60" t="s">
        <v>239</v>
      </c>
      <c r="I72" s="60" t="s">
        <v>239</v>
      </c>
      <c r="J72" s="25" t="s">
        <v>239</v>
      </c>
      <c r="K72" s="24" t="s">
        <v>239</v>
      </c>
      <c r="L72" s="25" t="str">
        <f>IFERROR(I72/I70,"-")</f>
        <v>-</v>
      </c>
    </row>
    <row r="73" spans="2:12" x14ac:dyDescent="0.25">
      <c r="B73" s="275"/>
      <c r="C73" s="286" t="s">
        <v>41</v>
      </c>
      <c r="D73" s="26" t="s">
        <v>32</v>
      </c>
      <c r="E73" s="52">
        <v>2270</v>
      </c>
      <c r="F73" s="52">
        <v>2680</v>
      </c>
      <c r="G73" s="52">
        <v>2774</v>
      </c>
      <c r="H73" s="52">
        <v>2946</v>
      </c>
      <c r="I73" s="52">
        <v>2675</v>
      </c>
      <c r="J73" s="36">
        <v>-9.19891378139851E-2</v>
      </c>
      <c r="K73" s="27">
        <v>-271</v>
      </c>
      <c r="L73" s="36">
        <f>I73/$I$73</f>
        <v>1</v>
      </c>
    </row>
    <row r="74" spans="2:12" x14ac:dyDescent="0.25">
      <c r="B74" s="275"/>
      <c r="C74" s="281"/>
      <c r="D74" s="4" t="s">
        <v>33</v>
      </c>
      <c r="E74" s="53">
        <v>2270</v>
      </c>
      <c r="F74" s="53">
        <v>2680</v>
      </c>
      <c r="G74" s="53">
        <v>2774</v>
      </c>
      <c r="H74" s="53">
        <v>2946</v>
      </c>
      <c r="I74" s="53">
        <v>2675</v>
      </c>
      <c r="J74" s="40">
        <v>-9.19891378139851E-2</v>
      </c>
      <c r="K74" s="29">
        <v>-271</v>
      </c>
      <c r="L74" s="40">
        <f t="shared" ref="L74" si="8">I74/$I$73</f>
        <v>1</v>
      </c>
    </row>
    <row r="75" spans="2:12" x14ac:dyDescent="0.25">
      <c r="B75" s="276"/>
      <c r="C75" s="282"/>
      <c r="D75" s="32" t="s">
        <v>34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4" t="s">
        <v>239</v>
      </c>
      <c r="K75" s="33">
        <v>0</v>
      </c>
      <c r="L75" s="65">
        <f>IFERROR(I75/I73,"-")</f>
        <v>0</v>
      </c>
    </row>
    <row r="76" spans="2:12" x14ac:dyDescent="0.25">
      <c r="B76" s="289"/>
      <c r="C76" s="289"/>
      <c r="D76" s="289"/>
      <c r="E76" s="289"/>
      <c r="F76" s="289"/>
      <c r="G76" s="289"/>
      <c r="H76" s="289"/>
      <c r="I76" s="289"/>
      <c r="J76" s="289"/>
      <c r="K76" s="289"/>
      <c r="L76" s="48"/>
    </row>
    <row r="77" spans="2:12" ht="27" customHeight="1" x14ac:dyDescent="0.25">
      <c r="B77" s="290" t="s">
        <v>38</v>
      </c>
      <c r="C77" s="291"/>
      <c r="D77" s="291"/>
      <c r="E77" s="291"/>
      <c r="F77" s="291"/>
      <c r="G77" s="291"/>
      <c r="H77" s="291"/>
      <c r="I77" s="291"/>
      <c r="J77" s="291"/>
      <c r="K77" s="291"/>
    </row>
  </sheetData>
  <mergeCells count="30">
    <mergeCell ref="B76:K76"/>
    <mergeCell ref="B77:K77"/>
    <mergeCell ref="B52:K52"/>
    <mergeCell ref="B53:K53"/>
    <mergeCell ref="B56:K56"/>
    <mergeCell ref="B59:B75"/>
    <mergeCell ref="C59:C60"/>
    <mergeCell ref="C61:C63"/>
    <mergeCell ref="C64:C66"/>
    <mergeCell ref="C67:C69"/>
    <mergeCell ref="C70:C72"/>
    <mergeCell ref="C73:C75"/>
    <mergeCell ref="B25:K25"/>
    <mergeCell ref="B26:K26"/>
    <mergeCell ref="B29:K29"/>
    <mergeCell ref="B32:B51"/>
    <mergeCell ref="C32:C34"/>
    <mergeCell ref="C35:C37"/>
    <mergeCell ref="C38:C40"/>
    <mergeCell ref="C41:C43"/>
    <mergeCell ref="C44:C46"/>
    <mergeCell ref="C49:C51"/>
    <mergeCell ref="B4:K4"/>
    <mergeCell ref="B7:B24"/>
    <mergeCell ref="C7:C9"/>
    <mergeCell ref="C10:C12"/>
    <mergeCell ref="C13:C15"/>
    <mergeCell ref="C16:C18"/>
    <mergeCell ref="C19:C21"/>
    <mergeCell ref="C22:C24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3DE50-3520-409A-8494-784F7A104A86}">
  <sheetPr>
    <tabColor theme="8" tint="0.59999389629810485"/>
  </sheetPr>
  <dimension ref="B1:P220"/>
  <sheetViews>
    <sheetView showGridLines="0" zoomScaleNormal="100" workbookViewId="0"/>
  </sheetViews>
  <sheetFormatPr baseColWidth="10" defaultColWidth="11.42578125" defaultRowHeight="15" x14ac:dyDescent="0.25"/>
  <cols>
    <col min="2" max="2" width="11.42578125" customWidth="1"/>
    <col min="3" max="3" width="16.85546875" customWidth="1"/>
    <col min="4" max="4" width="26.85546875" customWidth="1"/>
    <col min="5" max="5" width="11.5703125" customWidth="1"/>
  </cols>
  <sheetData>
    <row r="1" spans="2:16" x14ac:dyDescent="0.25">
      <c r="D1" s="292" t="s">
        <v>42</v>
      </c>
      <c r="E1" s="292"/>
      <c r="F1" s="292"/>
      <c r="G1" s="292"/>
      <c r="H1" s="292"/>
      <c r="I1" s="292"/>
      <c r="J1" s="292"/>
      <c r="K1" s="292"/>
      <c r="L1" s="292"/>
    </row>
    <row r="2" spans="2:16" x14ac:dyDescent="0.25">
      <c r="D2" s="292"/>
      <c r="E2" s="292"/>
      <c r="F2" s="292"/>
      <c r="G2" s="292"/>
      <c r="H2" s="292"/>
      <c r="I2" s="292"/>
      <c r="J2" s="292"/>
      <c r="K2" s="292"/>
      <c r="L2" s="292"/>
    </row>
    <row r="4" spans="2:16" ht="21.75" customHeight="1" thickBot="1" x14ac:dyDescent="0.3">
      <c r="C4" s="66" t="s">
        <v>43</v>
      </c>
      <c r="D4" s="66"/>
      <c r="E4" s="66"/>
      <c r="F4" s="66"/>
      <c r="G4" s="66"/>
      <c r="H4" s="66"/>
      <c r="I4" s="66"/>
      <c r="J4" s="66"/>
      <c r="K4" s="66"/>
      <c r="L4" s="66"/>
    </row>
    <row r="5" spans="2:16" ht="7.5" customHeight="1" thickBot="1" x14ac:dyDescent="0.3"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2:16" ht="30" x14ac:dyDescent="0.25">
      <c r="B6" s="4"/>
      <c r="C6" s="4"/>
      <c r="D6" s="4"/>
      <c r="E6" s="13" t="s">
        <v>234</v>
      </c>
      <c r="F6" s="13" t="s">
        <v>235</v>
      </c>
      <c r="G6" s="13" t="s">
        <v>236</v>
      </c>
      <c r="H6" s="13" t="s">
        <v>237</v>
      </c>
      <c r="I6" s="13" t="s">
        <v>238</v>
      </c>
      <c r="J6" s="14" t="str">
        <f>CONCATENATE("var. ",RIGHT(I6,2),"/",RIGHT(H6,2))</f>
        <v>var. 26/25</v>
      </c>
      <c r="K6" s="14" t="str">
        <f>CONCATENATE("dif. ",RIGHT(I6,2),"/",RIGHT(H6,2))</f>
        <v>dif. 26/25</v>
      </c>
      <c r="L6" s="14" t="str">
        <f>CONCATENATE("cuota ",I6)</f>
        <v>cuota julio 2026</v>
      </c>
    </row>
    <row r="7" spans="2:16" ht="15" customHeight="1" x14ac:dyDescent="0.25">
      <c r="B7" s="274" t="s">
        <v>44</v>
      </c>
      <c r="C7" s="277" t="s">
        <v>8</v>
      </c>
      <c r="D7" s="67" t="s">
        <v>45</v>
      </c>
      <c r="E7" s="68">
        <v>455417</v>
      </c>
      <c r="F7" s="68">
        <v>454190</v>
      </c>
      <c r="G7" s="68">
        <v>480798</v>
      </c>
      <c r="H7" s="68">
        <v>485154</v>
      </c>
      <c r="I7" s="68">
        <v>484506</v>
      </c>
      <c r="J7" s="69">
        <f>I7/H7-1</f>
        <v>-1.3356583682706535E-3</v>
      </c>
      <c r="K7" s="68">
        <f>I7-H7</f>
        <v>-648</v>
      </c>
      <c r="L7" s="69">
        <f>I7/$I$7</f>
        <v>1</v>
      </c>
      <c r="P7" s="70"/>
    </row>
    <row r="8" spans="2:16" ht="15" customHeight="1" x14ac:dyDescent="0.25">
      <c r="B8" s="275"/>
      <c r="C8" s="278"/>
      <c r="D8" s="15" t="s">
        <v>46</v>
      </c>
      <c r="E8" s="16">
        <v>164843</v>
      </c>
      <c r="F8" s="16">
        <v>164390</v>
      </c>
      <c r="G8" s="16">
        <v>166795</v>
      </c>
      <c r="H8" s="16">
        <v>155966</v>
      </c>
      <c r="I8" s="16">
        <v>163379</v>
      </c>
      <c r="J8" s="17">
        <f t="shared" ref="J8:J63" si="0">I8/H8-1</f>
        <v>4.7529589782388415E-2</v>
      </c>
      <c r="K8" s="16">
        <f t="shared" ref="K8:K50" si="1">I8-H8</f>
        <v>7413</v>
      </c>
      <c r="L8" s="18">
        <f t="shared" ref="L8:L17" si="2">I8/$I$7</f>
        <v>0.33720738236471787</v>
      </c>
      <c r="P8" s="70"/>
    </row>
    <row r="9" spans="2:16" x14ac:dyDescent="0.25">
      <c r="B9" s="275"/>
      <c r="C9" s="278"/>
      <c r="D9" s="19" t="s">
        <v>47</v>
      </c>
      <c r="E9" s="20">
        <v>119732</v>
      </c>
      <c r="F9" s="20">
        <v>113228</v>
      </c>
      <c r="G9" s="20">
        <v>121148</v>
      </c>
      <c r="H9" s="20">
        <v>126014</v>
      </c>
      <c r="I9" s="20">
        <v>129184</v>
      </c>
      <c r="J9" s="62">
        <f t="shared" si="0"/>
        <v>2.5155935054835155E-2</v>
      </c>
      <c r="K9" s="20">
        <f t="shared" si="1"/>
        <v>3170</v>
      </c>
      <c r="L9" s="63">
        <f t="shared" si="2"/>
        <v>0.2666303410071289</v>
      </c>
      <c r="P9" s="70"/>
    </row>
    <row r="10" spans="2:16" x14ac:dyDescent="0.25">
      <c r="B10" s="275"/>
      <c r="C10" s="278"/>
      <c r="D10" s="19" t="s">
        <v>48</v>
      </c>
      <c r="E10" s="20">
        <v>2342</v>
      </c>
      <c r="F10" s="20">
        <v>2845</v>
      </c>
      <c r="G10" s="20">
        <v>2508</v>
      </c>
      <c r="H10" s="20">
        <v>2685</v>
      </c>
      <c r="I10" s="20">
        <v>3962</v>
      </c>
      <c r="J10" s="62">
        <f t="shared" si="0"/>
        <v>0.4756052141527003</v>
      </c>
      <c r="K10" s="20">
        <f t="shared" si="1"/>
        <v>1277</v>
      </c>
      <c r="L10" s="63">
        <f t="shared" si="2"/>
        <v>8.1774013118516599E-3</v>
      </c>
      <c r="P10" s="70"/>
    </row>
    <row r="11" spans="2:16" x14ac:dyDescent="0.25">
      <c r="B11" s="275"/>
      <c r="C11" s="278"/>
      <c r="D11" s="19" t="s">
        <v>49</v>
      </c>
      <c r="E11" s="20">
        <v>24503</v>
      </c>
      <c r="F11" s="20">
        <v>17055</v>
      </c>
      <c r="G11" s="20">
        <v>16852</v>
      </c>
      <c r="H11" s="20">
        <v>17502</v>
      </c>
      <c r="I11" s="20">
        <v>17086</v>
      </c>
      <c r="J11" s="62">
        <f t="shared" si="0"/>
        <v>-2.3768712147183124E-2</v>
      </c>
      <c r="K11" s="20">
        <f t="shared" si="1"/>
        <v>-416</v>
      </c>
      <c r="L11" s="63">
        <f t="shared" si="2"/>
        <v>3.5264785162619244E-2</v>
      </c>
      <c r="P11" s="70"/>
    </row>
    <row r="12" spans="2:16" x14ac:dyDescent="0.25">
      <c r="B12" s="275"/>
      <c r="C12" s="278"/>
      <c r="D12" s="19" t="s">
        <v>50</v>
      </c>
      <c r="E12" s="20">
        <v>73949</v>
      </c>
      <c r="F12" s="20">
        <v>76772</v>
      </c>
      <c r="G12" s="20">
        <v>90048</v>
      </c>
      <c r="H12" s="20">
        <v>93840</v>
      </c>
      <c r="I12" s="20">
        <v>87554</v>
      </c>
      <c r="J12" s="62">
        <f t="shared" si="0"/>
        <v>-6.6986359761295855E-2</v>
      </c>
      <c r="K12" s="20">
        <f t="shared" si="1"/>
        <v>-6286</v>
      </c>
      <c r="L12" s="63">
        <f t="shared" si="2"/>
        <v>0.18070777245276631</v>
      </c>
      <c r="P12" s="70"/>
    </row>
    <row r="13" spans="2:16" x14ac:dyDescent="0.25">
      <c r="B13" s="275"/>
      <c r="C13" s="278"/>
      <c r="D13" s="19" t="s">
        <v>51</v>
      </c>
      <c r="E13" s="20">
        <v>4275</v>
      </c>
      <c r="F13" s="20">
        <v>4340</v>
      </c>
      <c r="G13" s="20">
        <v>4593</v>
      </c>
      <c r="H13" s="20">
        <v>3637</v>
      </c>
      <c r="I13" s="20">
        <v>3086</v>
      </c>
      <c r="J13" s="62">
        <f t="shared" si="0"/>
        <v>-0.15149848776464114</v>
      </c>
      <c r="K13" s="20">
        <f t="shared" si="1"/>
        <v>-551</v>
      </c>
      <c r="L13" s="63">
        <f t="shared" si="2"/>
        <v>6.3693741666769861E-3</v>
      </c>
      <c r="P13" s="70"/>
    </row>
    <row r="14" spans="2:16" x14ac:dyDescent="0.25">
      <c r="B14" s="275"/>
      <c r="C14" s="278"/>
      <c r="D14" s="19" t="s">
        <v>52</v>
      </c>
      <c r="E14" s="20">
        <v>15515</v>
      </c>
      <c r="F14" s="20">
        <v>21748</v>
      </c>
      <c r="G14" s="20">
        <v>20589</v>
      </c>
      <c r="H14" s="20">
        <v>22582</v>
      </c>
      <c r="I14" s="20">
        <v>21393</v>
      </c>
      <c r="J14" s="62">
        <f t="shared" si="0"/>
        <v>-5.2652555132406298E-2</v>
      </c>
      <c r="K14" s="20">
        <f t="shared" si="1"/>
        <v>-1189</v>
      </c>
      <c r="L14" s="63">
        <f t="shared" si="2"/>
        <v>4.4154251959728053E-2</v>
      </c>
      <c r="P14" s="70"/>
    </row>
    <row r="15" spans="2:16" x14ac:dyDescent="0.25">
      <c r="B15" s="275"/>
      <c r="C15" s="278"/>
      <c r="D15" s="19" t="s">
        <v>53</v>
      </c>
      <c r="E15" s="20">
        <v>18083</v>
      </c>
      <c r="F15" s="20">
        <v>17745</v>
      </c>
      <c r="G15" s="20">
        <v>21632</v>
      </c>
      <c r="H15" s="20">
        <v>23873</v>
      </c>
      <c r="I15" s="20">
        <v>21827</v>
      </c>
      <c r="J15" s="62">
        <f t="shared" si="0"/>
        <v>-8.570351443052826E-2</v>
      </c>
      <c r="K15" s="20">
        <f t="shared" si="1"/>
        <v>-2046</v>
      </c>
      <c r="L15" s="63">
        <f t="shared" si="2"/>
        <v>4.5050009700602266E-2</v>
      </c>
      <c r="P15" s="70"/>
    </row>
    <row r="16" spans="2:16" x14ac:dyDescent="0.25">
      <c r="B16" s="275"/>
      <c r="C16" s="278"/>
      <c r="D16" s="19" t="s">
        <v>54</v>
      </c>
      <c r="E16" s="20">
        <v>23111</v>
      </c>
      <c r="F16" s="20">
        <v>26451</v>
      </c>
      <c r="G16" s="20">
        <v>24893</v>
      </c>
      <c r="H16" s="20">
        <v>27952</v>
      </c>
      <c r="I16" s="20">
        <v>27459</v>
      </c>
      <c r="J16" s="62">
        <f t="shared" si="0"/>
        <v>-1.7637378362907796E-2</v>
      </c>
      <c r="K16" s="20">
        <f t="shared" si="1"/>
        <v>-493</v>
      </c>
      <c r="L16" s="63">
        <f t="shared" si="2"/>
        <v>5.6674220752684176E-2</v>
      </c>
      <c r="P16" s="70"/>
    </row>
    <row r="17" spans="2:16" x14ac:dyDescent="0.25">
      <c r="B17" s="275"/>
      <c r="C17" s="279"/>
      <c r="D17" s="23" t="s">
        <v>55</v>
      </c>
      <c r="E17" s="71">
        <v>9064</v>
      </c>
      <c r="F17" s="71">
        <v>9616</v>
      </c>
      <c r="G17" s="71">
        <v>11740</v>
      </c>
      <c r="H17" s="71">
        <v>11103</v>
      </c>
      <c r="I17" s="71">
        <v>9576</v>
      </c>
      <c r="J17" s="25">
        <f t="shared" si="0"/>
        <v>-0.13753039718994864</v>
      </c>
      <c r="K17" s="71">
        <f t="shared" si="1"/>
        <v>-1527</v>
      </c>
      <c r="L17" s="47">
        <f t="shared" si="2"/>
        <v>1.9764461121224507E-2</v>
      </c>
      <c r="P17" s="70"/>
    </row>
    <row r="18" spans="2:16" x14ac:dyDescent="0.25">
      <c r="B18" s="275"/>
      <c r="C18" s="280" t="s">
        <v>18</v>
      </c>
      <c r="D18" s="67" t="s">
        <v>45</v>
      </c>
      <c r="E18" s="68">
        <v>525893</v>
      </c>
      <c r="F18" s="68">
        <v>533193</v>
      </c>
      <c r="G18" s="68">
        <v>558529</v>
      </c>
      <c r="H18" s="68">
        <v>562194</v>
      </c>
      <c r="I18" s="68">
        <v>560690</v>
      </c>
      <c r="J18" s="69">
        <f t="shared" si="0"/>
        <v>-2.6752331045867273E-3</v>
      </c>
      <c r="K18" s="68">
        <f t="shared" si="1"/>
        <v>-1504</v>
      </c>
      <c r="L18" s="69">
        <f t="shared" ref="L18:L19" si="3">I18/$I$18</f>
        <v>1</v>
      </c>
    </row>
    <row r="19" spans="2:16" x14ac:dyDescent="0.25">
      <c r="B19" s="275"/>
      <c r="C19" s="281"/>
      <c r="D19" s="26" t="s">
        <v>46</v>
      </c>
      <c r="E19" s="27">
        <v>193056</v>
      </c>
      <c r="F19" s="27">
        <v>195916</v>
      </c>
      <c r="G19" s="27">
        <v>198178</v>
      </c>
      <c r="H19" s="27">
        <v>185177</v>
      </c>
      <c r="I19" s="27">
        <v>193582</v>
      </c>
      <c r="J19" s="28">
        <f t="shared" si="0"/>
        <v>4.5389006194073822E-2</v>
      </c>
      <c r="K19" s="27">
        <f t="shared" si="1"/>
        <v>8405</v>
      </c>
      <c r="L19" s="18">
        <f t="shared" si="3"/>
        <v>0.34525673723447897</v>
      </c>
    </row>
    <row r="20" spans="2:16" x14ac:dyDescent="0.25">
      <c r="B20" s="275"/>
      <c r="C20" s="281"/>
      <c r="D20" s="4" t="s">
        <v>47</v>
      </c>
      <c r="E20" s="29">
        <v>140298</v>
      </c>
      <c r="F20" s="29">
        <v>136073</v>
      </c>
      <c r="G20" s="29">
        <v>144210</v>
      </c>
      <c r="H20" s="29">
        <v>149733</v>
      </c>
      <c r="I20" s="29">
        <v>151861</v>
      </c>
      <c r="J20" s="72">
        <f t="shared" si="0"/>
        <v>1.4211963962520002E-2</v>
      </c>
      <c r="K20" s="29">
        <f t="shared" si="1"/>
        <v>2128</v>
      </c>
      <c r="L20" s="63">
        <f>I20/$I$18</f>
        <v>0.27084663539567316</v>
      </c>
    </row>
    <row r="21" spans="2:16" x14ac:dyDescent="0.25">
      <c r="B21" s="275"/>
      <c r="C21" s="281"/>
      <c r="D21" s="4" t="s">
        <v>48</v>
      </c>
      <c r="E21" s="29">
        <v>2613</v>
      </c>
      <c r="F21" s="29">
        <v>3109</v>
      </c>
      <c r="G21" s="29">
        <v>2720</v>
      </c>
      <c r="H21" s="29">
        <v>3023</v>
      </c>
      <c r="I21" s="29">
        <v>4286</v>
      </c>
      <c r="J21" s="72">
        <f t="shared" si="0"/>
        <v>0.41779689050611979</v>
      </c>
      <c r="K21" s="29">
        <f t="shared" si="1"/>
        <v>1263</v>
      </c>
      <c r="L21" s="63">
        <f t="shared" ref="L21:L28" si="4">I21/$I$18</f>
        <v>7.6441527403734687E-3</v>
      </c>
    </row>
    <row r="22" spans="2:16" x14ac:dyDescent="0.25">
      <c r="B22" s="275"/>
      <c r="C22" s="281"/>
      <c r="D22" s="4" t="s">
        <v>49</v>
      </c>
      <c r="E22" s="29">
        <v>27893</v>
      </c>
      <c r="F22" s="29">
        <v>18885</v>
      </c>
      <c r="G22" s="29">
        <v>19100</v>
      </c>
      <c r="H22" s="29">
        <v>20231</v>
      </c>
      <c r="I22" s="29">
        <v>19381</v>
      </c>
      <c r="J22" s="72">
        <f t="shared" si="0"/>
        <v>-4.2014729870001433E-2</v>
      </c>
      <c r="K22" s="29">
        <f t="shared" si="1"/>
        <v>-850</v>
      </c>
      <c r="L22" s="63">
        <f t="shared" si="4"/>
        <v>3.4566337905081242E-2</v>
      </c>
    </row>
    <row r="23" spans="2:16" x14ac:dyDescent="0.25">
      <c r="B23" s="275"/>
      <c r="C23" s="281"/>
      <c r="D23" s="4" t="s">
        <v>50</v>
      </c>
      <c r="E23" s="29">
        <v>84199</v>
      </c>
      <c r="F23" s="29">
        <v>89287</v>
      </c>
      <c r="G23" s="29">
        <v>101084</v>
      </c>
      <c r="H23" s="29">
        <v>105253</v>
      </c>
      <c r="I23" s="29">
        <v>98430</v>
      </c>
      <c r="J23" s="72">
        <f t="shared" si="0"/>
        <v>-6.4824755588914318E-2</v>
      </c>
      <c r="K23" s="29">
        <f t="shared" si="1"/>
        <v>-6823</v>
      </c>
      <c r="L23" s="63">
        <f t="shared" si="4"/>
        <v>0.17555155255132068</v>
      </c>
    </row>
    <row r="24" spans="2:16" x14ac:dyDescent="0.25">
      <c r="B24" s="275"/>
      <c r="C24" s="281"/>
      <c r="D24" s="4" t="s">
        <v>51</v>
      </c>
      <c r="E24" s="29">
        <v>4460</v>
      </c>
      <c r="F24" s="29">
        <v>4564</v>
      </c>
      <c r="G24" s="29">
        <v>4705</v>
      </c>
      <c r="H24" s="29">
        <v>3825</v>
      </c>
      <c r="I24" s="29">
        <v>3205</v>
      </c>
      <c r="J24" s="72">
        <f t="shared" si="0"/>
        <v>-0.16209150326797384</v>
      </c>
      <c r="K24" s="29">
        <f t="shared" si="1"/>
        <v>-620</v>
      </c>
      <c r="L24" s="63">
        <f t="shared" si="4"/>
        <v>5.7161711462662074E-3</v>
      </c>
    </row>
    <row r="25" spans="2:16" x14ac:dyDescent="0.25">
      <c r="B25" s="275"/>
      <c r="C25" s="281"/>
      <c r="D25" s="4" t="s">
        <v>52</v>
      </c>
      <c r="E25" s="29">
        <v>17775</v>
      </c>
      <c r="F25" s="29">
        <v>24316</v>
      </c>
      <c r="G25" s="29">
        <v>23859</v>
      </c>
      <c r="H25" s="29">
        <v>25818</v>
      </c>
      <c r="I25" s="29">
        <v>24617</v>
      </c>
      <c r="J25" s="72">
        <f t="shared" si="0"/>
        <v>-4.6517933224881847E-2</v>
      </c>
      <c r="K25" s="29">
        <f t="shared" si="1"/>
        <v>-1201</v>
      </c>
      <c r="L25" s="63">
        <f t="shared" si="4"/>
        <v>4.3904831546844068E-2</v>
      </c>
    </row>
    <row r="26" spans="2:16" x14ac:dyDescent="0.25">
      <c r="B26" s="275"/>
      <c r="C26" s="281"/>
      <c r="D26" s="4" t="s">
        <v>53</v>
      </c>
      <c r="E26" s="29">
        <v>18761</v>
      </c>
      <c r="F26" s="29">
        <v>18584</v>
      </c>
      <c r="G26" s="29">
        <v>22231</v>
      </c>
      <c r="H26" s="29">
        <v>24531</v>
      </c>
      <c r="I26" s="29">
        <v>22538</v>
      </c>
      <c r="J26" s="72">
        <f t="shared" si="0"/>
        <v>-8.1244140067669446E-2</v>
      </c>
      <c r="K26" s="29">
        <f t="shared" si="1"/>
        <v>-1993</v>
      </c>
      <c r="L26" s="63">
        <f t="shared" si="4"/>
        <v>4.0196900247908826E-2</v>
      </c>
    </row>
    <row r="27" spans="2:16" x14ac:dyDescent="0.25">
      <c r="B27" s="275"/>
      <c r="C27" s="281"/>
      <c r="D27" s="4" t="s">
        <v>54</v>
      </c>
      <c r="E27" s="29">
        <v>26589</v>
      </c>
      <c r="F27" s="29">
        <v>31134</v>
      </c>
      <c r="G27" s="29">
        <v>29387</v>
      </c>
      <c r="H27" s="29">
        <v>32367</v>
      </c>
      <c r="I27" s="29">
        <v>31944</v>
      </c>
      <c r="J27" s="30">
        <f t="shared" si="0"/>
        <v>-1.3068866438038729E-2</v>
      </c>
      <c r="K27" s="29">
        <f t="shared" si="1"/>
        <v>-423</v>
      </c>
      <c r="L27" s="31">
        <f t="shared" si="4"/>
        <v>5.6972658688401789E-2</v>
      </c>
    </row>
    <row r="28" spans="2:16" x14ac:dyDescent="0.25">
      <c r="B28" s="275"/>
      <c r="C28" s="282"/>
      <c r="D28" s="32" t="s">
        <v>55</v>
      </c>
      <c r="E28" s="73">
        <v>10249</v>
      </c>
      <c r="F28" s="73">
        <v>11325</v>
      </c>
      <c r="G28" s="73">
        <v>13055</v>
      </c>
      <c r="H28" s="73">
        <v>12236</v>
      </c>
      <c r="I28" s="73">
        <v>10846</v>
      </c>
      <c r="J28" s="34">
        <f t="shared" si="0"/>
        <v>-0.11359921542987905</v>
      </c>
      <c r="K28" s="73">
        <f t="shared" si="1"/>
        <v>-1390</v>
      </c>
      <c r="L28" s="74">
        <f t="shared" si="4"/>
        <v>1.9344022543651571E-2</v>
      </c>
    </row>
    <row r="29" spans="2:16" x14ac:dyDescent="0.25">
      <c r="B29" s="275"/>
      <c r="C29" s="277" t="s">
        <v>21</v>
      </c>
      <c r="D29" s="67" t="s">
        <v>45</v>
      </c>
      <c r="E29" s="68">
        <v>2966022</v>
      </c>
      <c r="F29" s="68">
        <v>3056353</v>
      </c>
      <c r="G29" s="68">
        <v>3194799</v>
      </c>
      <c r="H29" s="68">
        <v>3173278</v>
      </c>
      <c r="I29" s="68">
        <v>3103252</v>
      </c>
      <c r="J29" s="69">
        <f t="shared" si="0"/>
        <v>-2.2067401595447955E-2</v>
      </c>
      <c r="K29" s="68">
        <f t="shared" si="1"/>
        <v>-70026</v>
      </c>
      <c r="L29" s="69">
        <f t="shared" ref="L29:L30" si="5">I29/$I$29</f>
        <v>1</v>
      </c>
    </row>
    <row r="30" spans="2:16" x14ac:dyDescent="0.25">
      <c r="B30" s="275"/>
      <c r="C30" s="278"/>
      <c r="D30" s="15" t="s">
        <v>46</v>
      </c>
      <c r="E30" s="16">
        <v>1179956</v>
      </c>
      <c r="F30" s="16">
        <v>1208215</v>
      </c>
      <c r="G30" s="16">
        <v>1224963</v>
      </c>
      <c r="H30" s="16">
        <v>1158197</v>
      </c>
      <c r="I30" s="16">
        <v>1193560</v>
      </c>
      <c r="J30" s="17">
        <f t="shared" si="0"/>
        <v>3.0532802278023574E-2</v>
      </c>
      <c r="K30" s="16">
        <f t="shared" si="1"/>
        <v>35363</v>
      </c>
      <c r="L30" s="18">
        <f t="shared" si="5"/>
        <v>0.3846158803732343</v>
      </c>
    </row>
    <row r="31" spans="2:16" x14ac:dyDescent="0.25">
      <c r="B31" s="275"/>
      <c r="C31" s="278"/>
      <c r="D31" s="19" t="s">
        <v>47</v>
      </c>
      <c r="E31" s="20">
        <v>858220</v>
      </c>
      <c r="F31" s="20">
        <v>872319</v>
      </c>
      <c r="G31" s="20">
        <v>895588</v>
      </c>
      <c r="H31" s="20">
        <v>931484</v>
      </c>
      <c r="I31" s="20">
        <v>902701</v>
      </c>
      <c r="J31" s="62">
        <f>I31/H31-1</f>
        <v>-3.0900155021449605E-2</v>
      </c>
      <c r="K31" s="20">
        <f t="shared" si="1"/>
        <v>-28783</v>
      </c>
      <c r="L31" s="63">
        <f>I31/$I$29</f>
        <v>0.29088871931767063</v>
      </c>
    </row>
    <row r="32" spans="2:16" x14ac:dyDescent="0.25">
      <c r="B32" s="275"/>
      <c r="C32" s="278"/>
      <c r="D32" s="19" t="s">
        <v>48</v>
      </c>
      <c r="E32" s="20">
        <v>11471</v>
      </c>
      <c r="F32" s="20">
        <v>10609</v>
      </c>
      <c r="G32" s="20">
        <v>12513</v>
      </c>
      <c r="H32" s="20">
        <v>13153</v>
      </c>
      <c r="I32" s="20">
        <v>13741</v>
      </c>
      <c r="J32" s="62">
        <f t="shared" ref="J32:J41" si="6">I32/H32-1</f>
        <v>4.4704630122405442E-2</v>
      </c>
      <c r="K32" s="20">
        <f t="shared" si="1"/>
        <v>588</v>
      </c>
      <c r="L32" s="63">
        <f t="shared" ref="L32:L39" si="7">I32/$I$29</f>
        <v>4.4279355978824797E-3</v>
      </c>
    </row>
    <row r="33" spans="2:12" x14ac:dyDescent="0.25">
      <c r="B33" s="275"/>
      <c r="C33" s="278"/>
      <c r="D33" s="19" t="s">
        <v>49</v>
      </c>
      <c r="E33" s="20">
        <v>137368</v>
      </c>
      <c r="F33" s="20">
        <v>85843</v>
      </c>
      <c r="G33" s="20">
        <v>99510</v>
      </c>
      <c r="H33" s="20">
        <v>107220</v>
      </c>
      <c r="I33" s="20">
        <v>101282</v>
      </c>
      <c r="J33" s="62">
        <f t="shared" si="6"/>
        <v>-5.538145868308153E-2</v>
      </c>
      <c r="K33" s="20">
        <f t="shared" si="1"/>
        <v>-5938</v>
      </c>
      <c r="L33" s="63">
        <f t="shared" si="7"/>
        <v>3.263737524377653E-2</v>
      </c>
    </row>
    <row r="34" spans="2:12" x14ac:dyDescent="0.25">
      <c r="B34" s="275"/>
      <c r="C34" s="278"/>
      <c r="D34" s="19" t="s">
        <v>50</v>
      </c>
      <c r="E34" s="20">
        <v>417659</v>
      </c>
      <c r="F34" s="20">
        <v>467372</v>
      </c>
      <c r="G34" s="20">
        <v>532065</v>
      </c>
      <c r="H34" s="20">
        <v>526626</v>
      </c>
      <c r="I34" s="20">
        <v>483735</v>
      </c>
      <c r="J34" s="62">
        <f t="shared" si="6"/>
        <v>-8.1444896378074727E-2</v>
      </c>
      <c r="K34" s="20">
        <f t="shared" si="1"/>
        <v>-42891</v>
      </c>
      <c r="L34" s="63">
        <f t="shared" si="7"/>
        <v>0.15588002521226121</v>
      </c>
    </row>
    <row r="35" spans="2:12" x14ac:dyDescent="0.25">
      <c r="B35" s="275"/>
      <c r="C35" s="278"/>
      <c r="D35" s="19" t="s">
        <v>51</v>
      </c>
      <c r="E35" s="20">
        <v>10710</v>
      </c>
      <c r="F35" s="20">
        <v>9594</v>
      </c>
      <c r="G35" s="20">
        <v>10140</v>
      </c>
      <c r="H35" s="20">
        <v>9995</v>
      </c>
      <c r="I35" s="20">
        <v>7834</v>
      </c>
      <c r="J35" s="62">
        <f t="shared" si="6"/>
        <v>-0.21620810405202606</v>
      </c>
      <c r="K35" s="20">
        <f t="shared" si="1"/>
        <v>-2161</v>
      </c>
      <c r="L35" s="63">
        <f t="shared" si="7"/>
        <v>2.524448546234724E-3</v>
      </c>
    </row>
    <row r="36" spans="2:12" x14ac:dyDescent="0.25">
      <c r="B36" s="275"/>
      <c r="C36" s="278"/>
      <c r="D36" s="19" t="s">
        <v>52</v>
      </c>
      <c r="E36" s="20">
        <v>99960</v>
      </c>
      <c r="F36" s="20">
        <v>125973</v>
      </c>
      <c r="G36" s="20">
        <v>138511</v>
      </c>
      <c r="H36" s="20">
        <v>133553</v>
      </c>
      <c r="I36" s="20">
        <v>124585</v>
      </c>
      <c r="J36" s="62">
        <f t="shared" si="6"/>
        <v>-6.7149371410601066E-2</v>
      </c>
      <c r="K36" s="20">
        <f t="shared" si="1"/>
        <v>-8968</v>
      </c>
      <c r="L36" s="63">
        <f t="shared" si="7"/>
        <v>4.0146594604627661E-2</v>
      </c>
    </row>
    <row r="37" spans="2:12" x14ac:dyDescent="0.25">
      <c r="B37" s="275"/>
      <c r="C37" s="278"/>
      <c r="D37" s="19" t="s">
        <v>53</v>
      </c>
      <c r="E37" s="20">
        <v>43286</v>
      </c>
      <c r="F37" s="20">
        <v>41786</v>
      </c>
      <c r="G37" s="20">
        <v>45242</v>
      </c>
      <c r="H37" s="20">
        <v>49837</v>
      </c>
      <c r="I37" s="20">
        <v>47307</v>
      </c>
      <c r="J37" s="62">
        <f t="shared" si="6"/>
        <v>-5.0765495515380121E-2</v>
      </c>
      <c r="K37" s="20">
        <f t="shared" si="1"/>
        <v>-2530</v>
      </c>
      <c r="L37" s="63">
        <f t="shared" si="7"/>
        <v>1.5244330785898147E-2</v>
      </c>
    </row>
    <row r="38" spans="2:12" x14ac:dyDescent="0.25">
      <c r="B38" s="275"/>
      <c r="C38" s="278"/>
      <c r="D38" s="19" t="s">
        <v>54</v>
      </c>
      <c r="E38" s="20">
        <v>159520</v>
      </c>
      <c r="F38" s="20">
        <v>176921</v>
      </c>
      <c r="G38" s="20">
        <v>173767</v>
      </c>
      <c r="H38" s="20">
        <v>187387</v>
      </c>
      <c r="I38" s="20">
        <v>182476</v>
      </c>
      <c r="J38" s="21">
        <f t="shared" si="6"/>
        <v>-2.6207794564190645E-2</v>
      </c>
      <c r="K38" s="20">
        <f t="shared" si="1"/>
        <v>-4911</v>
      </c>
      <c r="L38" s="22">
        <f t="shared" si="7"/>
        <v>5.8801541093021124E-2</v>
      </c>
    </row>
    <row r="39" spans="2:12" x14ac:dyDescent="0.25">
      <c r="B39" s="275"/>
      <c r="C39" s="279"/>
      <c r="D39" s="23" t="s">
        <v>55</v>
      </c>
      <c r="E39" s="71">
        <v>47872</v>
      </c>
      <c r="F39" s="71">
        <v>57721</v>
      </c>
      <c r="G39" s="71">
        <v>62500</v>
      </c>
      <c r="H39" s="71">
        <v>55826</v>
      </c>
      <c r="I39" s="71">
        <v>46031</v>
      </c>
      <c r="J39" s="25">
        <f t="shared" si="6"/>
        <v>-0.17545588077239993</v>
      </c>
      <c r="K39" s="71">
        <f t="shared" si="1"/>
        <v>-9795</v>
      </c>
      <c r="L39" s="47">
        <f t="shared" si="7"/>
        <v>1.4833149225393232E-2</v>
      </c>
    </row>
    <row r="40" spans="2:12" x14ac:dyDescent="0.25">
      <c r="B40" s="275"/>
      <c r="C40" s="293" t="s">
        <v>22</v>
      </c>
      <c r="D40" s="67" t="s">
        <v>45</v>
      </c>
      <c r="E40" s="75">
        <v>6.5127608323799944</v>
      </c>
      <c r="F40" s="75">
        <v>6.7292388647922676</v>
      </c>
      <c r="G40" s="75">
        <v>6.644784296107721</v>
      </c>
      <c r="H40" s="75">
        <v>6.5407643758476688</v>
      </c>
      <c r="I40" s="75">
        <v>6.4049815688557006</v>
      </c>
      <c r="J40" s="69">
        <f t="shared" si="6"/>
        <v>-2.0759470788056178E-2</v>
      </c>
      <c r="K40" s="75">
        <f t="shared" si="1"/>
        <v>-0.13578280699196821</v>
      </c>
      <c r="L40" s="69"/>
    </row>
    <row r="41" spans="2:12" x14ac:dyDescent="0.25">
      <c r="B41" s="275"/>
      <c r="C41" s="294"/>
      <c r="D41" s="26" t="s">
        <v>46</v>
      </c>
      <c r="E41" s="35">
        <v>7.1580594869057226</v>
      </c>
      <c r="F41" s="35">
        <v>7.3496867206034429</v>
      </c>
      <c r="G41" s="35">
        <v>7.3441230252705418</v>
      </c>
      <c r="H41" s="35">
        <v>7.4259582216636959</v>
      </c>
      <c r="I41" s="35">
        <v>7.3054676549617756</v>
      </c>
      <c r="J41" s="36">
        <f t="shared" si="6"/>
        <v>-1.6225591782945137E-2</v>
      </c>
      <c r="K41" s="37">
        <f t="shared" si="1"/>
        <v>-0.12049056670192027</v>
      </c>
      <c r="L41" s="38"/>
    </row>
    <row r="42" spans="2:12" x14ac:dyDescent="0.25">
      <c r="B42" s="275"/>
      <c r="C42" s="294"/>
      <c r="D42" s="4" t="s">
        <v>47</v>
      </c>
      <c r="E42" s="39">
        <v>7.167841512711723</v>
      </c>
      <c r="F42" s="39">
        <v>7.7040926272653412</v>
      </c>
      <c r="G42" s="39">
        <v>7.3925116386568499</v>
      </c>
      <c r="H42" s="39">
        <v>7.3919088355262117</v>
      </c>
      <c r="I42" s="39">
        <v>6.9877151969284119</v>
      </c>
      <c r="J42" s="76">
        <f t="shared" si="0"/>
        <v>-5.4680549718796212E-2</v>
      </c>
      <c r="K42" s="41">
        <f t="shared" si="1"/>
        <v>-0.40419363859779978</v>
      </c>
      <c r="L42" s="77"/>
    </row>
    <row r="43" spans="2:12" x14ac:dyDescent="0.25">
      <c r="B43" s="275"/>
      <c r="C43" s="294"/>
      <c r="D43" s="4" t="s">
        <v>48</v>
      </c>
      <c r="E43" s="39">
        <v>4.897950469684031</v>
      </c>
      <c r="F43" s="39">
        <v>3.7289982425307557</v>
      </c>
      <c r="G43" s="39">
        <v>4.9892344497607652</v>
      </c>
      <c r="H43" s="39">
        <v>4.8986964618249536</v>
      </c>
      <c r="I43" s="39">
        <v>3.4681978798586575</v>
      </c>
      <c r="J43" s="76">
        <f t="shared" si="0"/>
        <v>-0.29201617065152474</v>
      </c>
      <c r="K43" s="41">
        <f t="shared" si="1"/>
        <v>-1.4304985819662961</v>
      </c>
      <c r="L43" s="77"/>
    </row>
    <row r="44" spans="2:12" x14ac:dyDescent="0.25">
      <c r="B44" s="275"/>
      <c r="C44" s="294"/>
      <c r="D44" s="4" t="s">
        <v>49</v>
      </c>
      <c r="E44" s="39">
        <v>5.606170672978819</v>
      </c>
      <c r="F44" s="39">
        <v>5.0333040164174729</v>
      </c>
      <c r="G44" s="39">
        <v>5.9049370994540711</v>
      </c>
      <c r="H44" s="39">
        <v>6.1261570106273568</v>
      </c>
      <c r="I44" s="39">
        <v>5.9277771274727851</v>
      </c>
      <c r="J44" s="76">
        <f t="shared" si="0"/>
        <v>-3.2382435319635472E-2</v>
      </c>
      <c r="K44" s="41">
        <f t="shared" si="1"/>
        <v>-0.19837988315457178</v>
      </c>
      <c r="L44" s="77"/>
    </row>
    <row r="45" spans="2:12" x14ac:dyDescent="0.25">
      <c r="B45" s="275"/>
      <c r="C45" s="294"/>
      <c r="D45" s="4" t="s">
        <v>50</v>
      </c>
      <c r="E45" s="39">
        <v>5.6479330349294781</v>
      </c>
      <c r="F45" s="39">
        <v>6.0877924243213668</v>
      </c>
      <c r="G45" s="39">
        <v>5.9086820362473347</v>
      </c>
      <c r="H45" s="39">
        <v>5.6119565217391303</v>
      </c>
      <c r="I45" s="39">
        <v>5.5249902917056906</v>
      </c>
      <c r="J45" s="76">
        <f t="shared" si="0"/>
        <v>-1.5496597255619693E-2</v>
      </c>
      <c r="K45" s="41">
        <f t="shared" si="1"/>
        <v>-8.6966230033439729E-2</v>
      </c>
      <c r="L45" s="77"/>
    </row>
    <row r="46" spans="2:12" x14ac:dyDescent="0.25">
      <c r="B46" s="275"/>
      <c r="C46" s="294"/>
      <c r="D46" s="4" t="s">
        <v>51</v>
      </c>
      <c r="E46" s="39">
        <v>2.5052631578947366</v>
      </c>
      <c r="F46" s="39">
        <v>2.2105990783410139</v>
      </c>
      <c r="G46" s="39">
        <v>2.2077073807968648</v>
      </c>
      <c r="H46" s="39">
        <v>2.7481440747869121</v>
      </c>
      <c r="I46" s="39">
        <v>2.5385612443292289</v>
      </c>
      <c r="J46" s="76">
        <f t="shared" si="0"/>
        <v>-7.626340714102986E-2</v>
      </c>
      <c r="K46" s="41">
        <f t="shared" si="1"/>
        <v>-0.20958283045768322</v>
      </c>
      <c r="L46" s="77"/>
    </row>
    <row r="47" spans="2:12" x14ac:dyDescent="0.25">
      <c r="B47" s="275"/>
      <c r="C47" s="294"/>
      <c r="D47" s="4" t="s">
        <v>52</v>
      </c>
      <c r="E47" s="39">
        <v>6.4427972929423136</v>
      </c>
      <c r="F47" s="39">
        <v>5.7923947029611922</v>
      </c>
      <c r="G47" s="39">
        <v>6.7274272669872266</v>
      </c>
      <c r="H47" s="39">
        <v>5.9141351518908865</v>
      </c>
      <c r="I47" s="39">
        <v>5.8236338989389056</v>
      </c>
      <c r="J47" s="76">
        <f t="shared" si="0"/>
        <v>-1.5302533781806682E-2</v>
      </c>
      <c r="K47" s="41">
        <f t="shared" si="1"/>
        <v>-9.050125295198086E-2</v>
      </c>
      <c r="L47" s="77"/>
    </row>
    <row r="48" spans="2:12" x14ac:dyDescent="0.25">
      <c r="B48" s="275"/>
      <c r="C48" s="294"/>
      <c r="D48" s="4" t="s">
        <v>53</v>
      </c>
      <c r="E48" s="39">
        <v>2.3937399767737655</v>
      </c>
      <c r="F48" s="39">
        <v>2.3548041701887854</v>
      </c>
      <c r="G48" s="39">
        <v>2.0914386094674557</v>
      </c>
      <c r="H48" s="39">
        <v>2.0875884890880911</v>
      </c>
      <c r="I48" s="39">
        <v>2.1673615247170934</v>
      </c>
      <c r="J48" s="76">
        <f t="shared" si="0"/>
        <v>3.8213007997495163E-2</v>
      </c>
      <c r="K48" s="41">
        <f t="shared" si="1"/>
        <v>7.9773035629002287E-2</v>
      </c>
      <c r="L48" s="77"/>
    </row>
    <row r="49" spans="2:12" x14ac:dyDescent="0.25">
      <c r="B49" s="275"/>
      <c r="C49" s="294"/>
      <c r="D49" s="4" t="s">
        <v>54</v>
      </c>
      <c r="E49" s="39">
        <v>6.9023408766388297</v>
      </c>
      <c r="F49" s="39">
        <v>6.6886318097614454</v>
      </c>
      <c r="G49" s="39">
        <v>6.9805567830313739</v>
      </c>
      <c r="H49" s="39">
        <v>6.7038852318259874</v>
      </c>
      <c r="I49" s="39">
        <v>6.6453985942678173</v>
      </c>
      <c r="J49" s="40">
        <f t="shared" si="0"/>
        <v>-8.7242898014588954E-3</v>
      </c>
      <c r="K49" s="41">
        <f t="shared" si="1"/>
        <v>-5.8486637558170074E-2</v>
      </c>
      <c r="L49" s="42"/>
    </row>
    <row r="50" spans="2:12" x14ac:dyDescent="0.25">
      <c r="B50" s="275"/>
      <c r="C50" s="295"/>
      <c r="D50" s="32" t="s">
        <v>55</v>
      </c>
      <c r="E50" s="78">
        <v>5.2815533980582527</v>
      </c>
      <c r="F50" s="78">
        <v>6.002599833610649</v>
      </c>
      <c r="G50" s="78">
        <v>5.3236797274275975</v>
      </c>
      <c r="H50" s="78">
        <v>5.0280104476267677</v>
      </c>
      <c r="I50" s="78">
        <v>4.806913116123642</v>
      </c>
      <c r="J50" s="65">
        <f t="shared" si="0"/>
        <v>-4.3973124918124218E-2</v>
      </c>
      <c r="K50" s="79">
        <f t="shared" si="1"/>
        <v>-0.22109733150312572</v>
      </c>
      <c r="L50" s="56"/>
    </row>
    <row r="51" spans="2:12" x14ac:dyDescent="0.25">
      <c r="B51" s="275"/>
      <c r="C51" s="283" t="s">
        <v>36</v>
      </c>
      <c r="D51" s="67" t="s">
        <v>45</v>
      </c>
      <c r="E51" s="69">
        <v>17.827500000000001</v>
      </c>
      <c r="F51" s="69">
        <v>19.474499999999999</v>
      </c>
      <c r="G51" s="69">
        <v>19.694899999999997</v>
      </c>
      <c r="H51" s="69">
        <v>19.936</v>
      </c>
      <c r="I51" s="69">
        <v>19.2331</v>
      </c>
      <c r="J51" s="69">
        <f t="shared" si="0"/>
        <v>-3.5257825040128421E-2</v>
      </c>
      <c r="K51" s="75">
        <f t="shared" ref="K51" si="8">(I51-H51)*100</f>
        <v>-70.289999999999964</v>
      </c>
      <c r="L51" s="69"/>
    </row>
    <row r="52" spans="2:12" x14ac:dyDescent="0.25">
      <c r="B52" s="275"/>
      <c r="C52" s="284"/>
      <c r="D52" s="15" t="s">
        <v>46</v>
      </c>
      <c r="E52" s="18">
        <v>0.86370000000000002</v>
      </c>
      <c r="F52" s="18">
        <v>0.86819999999999997</v>
      </c>
      <c r="G52" s="18">
        <v>0.85230000000000006</v>
      </c>
      <c r="H52" s="18">
        <v>0.84319999999999995</v>
      </c>
      <c r="I52" s="18">
        <v>0.81200000000000006</v>
      </c>
      <c r="J52" s="17">
        <f t="shared" si="0"/>
        <v>-3.7001897533206707E-2</v>
      </c>
      <c r="K52" s="44">
        <f>(I52-H52)*100</f>
        <v>-3.1199999999999894</v>
      </c>
      <c r="L52" s="18"/>
    </row>
    <row r="53" spans="2:12" x14ac:dyDescent="0.25">
      <c r="B53" s="275"/>
      <c r="C53" s="284"/>
      <c r="D53" s="19" t="s">
        <v>47</v>
      </c>
      <c r="E53" s="63">
        <v>0.70909999999999995</v>
      </c>
      <c r="F53" s="63">
        <v>0.75840000000000007</v>
      </c>
      <c r="G53" s="63">
        <v>0.75879999999999992</v>
      </c>
      <c r="H53" s="63">
        <v>0.81180000000000008</v>
      </c>
      <c r="I53" s="63">
        <v>0.77540000000000009</v>
      </c>
      <c r="J53" s="62">
        <f t="shared" si="0"/>
        <v>-4.4838630204483865E-2</v>
      </c>
      <c r="K53" s="46">
        <f t="shared" ref="K53:K61" si="9">(I53-H53)*100</f>
        <v>-3.6399999999999988</v>
      </c>
      <c r="L53" s="63"/>
    </row>
    <row r="54" spans="2:12" x14ac:dyDescent="0.25">
      <c r="B54" s="275"/>
      <c r="C54" s="284"/>
      <c r="D54" s="19" t="s">
        <v>48</v>
      </c>
      <c r="E54" s="63">
        <v>0.43840000000000001</v>
      </c>
      <c r="F54" s="63">
        <v>0.44850000000000001</v>
      </c>
      <c r="G54" s="63">
        <v>0.44259999999999999</v>
      </c>
      <c r="H54" s="63">
        <v>0.4632</v>
      </c>
      <c r="I54" s="63">
        <v>0.48979999999999996</v>
      </c>
      <c r="J54" s="62">
        <f t="shared" si="0"/>
        <v>5.742659758203783E-2</v>
      </c>
      <c r="K54" s="46">
        <f t="shared" si="9"/>
        <v>2.6599999999999957</v>
      </c>
      <c r="L54" s="63"/>
    </row>
    <row r="55" spans="2:12" x14ac:dyDescent="0.25">
      <c r="B55" s="275"/>
      <c r="C55" s="284"/>
      <c r="D55" s="19" t="s">
        <v>49</v>
      </c>
      <c r="E55" s="63">
        <v>0.97129999999999994</v>
      </c>
      <c r="F55" s="63">
        <v>0.64760000000000006</v>
      </c>
      <c r="G55" s="63">
        <v>0.74549999999999994</v>
      </c>
      <c r="H55" s="63">
        <v>0.74930000000000008</v>
      </c>
      <c r="I55" s="63">
        <v>0.70779999999999998</v>
      </c>
      <c r="J55" s="62">
        <f t="shared" si="0"/>
        <v>-5.5385026024289408E-2</v>
      </c>
      <c r="K55" s="46">
        <f t="shared" si="9"/>
        <v>-4.1500000000000092</v>
      </c>
      <c r="L55" s="63"/>
    </row>
    <row r="56" spans="2:12" x14ac:dyDescent="0.25">
      <c r="B56" s="275"/>
      <c r="C56" s="284"/>
      <c r="D56" s="19" t="s">
        <v>50</v>
      </c>
      <c r="E56" s="63">
        <v>0.7229000000000001</v>
      </c>
      <c r="F56" s="63">
        <v>0.78139999999999998</v>
      </c>
      <c r="G56" s="63">
        <v>0.85219999999999996</v>
      </c>
      <c r="H56" s="63">
        <v>0.84489999999999998</v>
      </c>
      <c r="I56" s="63">
        <v>0.74360000000000004</v>
      </c>
      <c r="J56" s="62">
        <f t="shared" si="0"/>
        <v>-0.11989584566220846</v>
      </c>
      <c r="K56" s="46">
        <f t="shared" si="9"/>
        <v>-10.129999999999995</v>
      </c>
      <c r="L56" s="63"/>
    </row>
    <row r="57" spans="2:12" x14ac:dyDescent="0.25">
      <c r="B57" s="275"/>
      <c r="C57" s="284"/>
      <c r="D57" s="19" t="s">
        <v>51</v>
      </c>
      <c r="E57" s="63">
        <v>0.52110000000000001</v>
      </c>
      <c r="F57" s="63">
        <v>0.46679999999999999</v>
      </c>
      <c r="G57" s="63">
        <v>0.48599999999999999</v>
      </c>
      <c r="H57" s="63">
        <v>0.47909999999999997</v>
      </c>
      <c r="I57" s="63">
        <v>0.38119999999999998</v>
      </c>
      <c r="J57" s="62">
        <f t="shared" si="0"/>
        <v>-0.20434147359632648</v>
      </c>
      <c r="K57" s="46">
        <f t="shared" si="9"/>
        <v>-9.7899999999999991</v>
      </c>
      <c r="L57" s="63"/>
    </row>
    <row r="58" spans="2:12" x14ac:dyDescent="0.25">
      <c r="B58" s="275"/>
      <c r="C58" s="284"/>
      <c r="D58" s="19" t="s">
        <v>52</v>
      </c>
      <c r="E58" s="63">
        <v>0.69299999999999995</v>
      </c>
      <c r="F58" s="63">
        <v>0.84819999999999995</v>
      </c>
      <c r="G58" s="63">
        <v>0.93140000000000001</v>
      </c>
      <c r="H58" s="63">
        <v>0.9355</v>
      </c>
      <c r="I58" s="63">
        <v>0.82169999999999999</v>
      </c>
      <c r="J58" s="62">
        <f t="shared" si="0"/>
        <v>-0.12164617851416359</v>
      </c>
      <c r="K58" s="46">
        <f t="shared" si="9"/>
        <v>-11.38</v>
      </c>
      <c r="L58" s="63"/>
    </row>
    <row r="59" spans="2:12" x14ac:dyDescent="0.25">
      <c r="B59" s="275"/>
      <c r="C59" s="284"/>
      <c r="D59" s="19" t="s">
        <v>53</v>
      </c>
      <c r="E59" s="63">
        <v>0.52890000000000004</v>
      </c>
      <c r="F59" s="63">
        <v>0.50939999999999996</v>
      </c>
      <c r="G59" s="63">
        <v>0.52629999999999999</v>
      </c>
      <c r="H59" s="63">
        <v>0.60099999999999998</v>
      </c>
      <c r="I59" s="63">
        <v>0.52190000000000003</v>
      </c>
      <c r="J59" s="62">
        <f t="shared" si="0"/>
        <v>-0.1316139767054908</v>
      </c>
      <c r="K59" s="46">
        <f t="shared" si="9"/>
        <v>-7.9099999999999948</v>
      </c>
      <c r="L59" s="63"/>
    </row>
    <row r="60" spans="2:12" x14ac:dyDescent="0.25">
      <c r="B60" s="275"/>
      <c r="C60" s="284"/>
      <c r="D60" s="19" t="s">
        <v>54</v>
      </c>
      <c r="E60" s="22">
        <v>0.80249999999999999</v>
      </c>
      <c r="F60" s="22">
        <v>0.88969999999999994</v>
      </c>
      <c r="G60" s="22">
        <v>0.87379999999999991</v>
      </c>
      <c r="H60" s="22">
        <v>0.93040000000000012</v>
      </c>
      <c r="I60" s="22">
        <v>0.92049999999999998</v>
      </c>
      <c r="J60" s="21">
        <f t="shared" si="0"/>
        <v>-1.064058469475504E-2</v>
      </c>
      <c r="K60" s="46">
        <f t="shared" si="9"/>
        <v>-0.99000000000001309</v>
      </c>
      <c r="L60" s="22"/>
    </row>
    <row r="61" spans="2:12" x14ac:dyDescent="0.25">
      <c r="B61" s="275"/>
      <c r="C61" s="285"/>
      <c r="D61" s="23" t="s">
        <v>55</v>
      </c>
      <c r="E61" s="47">
        <v>0.50580000000000003</v>
      </c>
      <c r="F61" s="47">
        <v>0.6099</v>
      </c>
      <c r="G61" s="47">
        <v>0.6552</v>
      </c>
      <c r="H61" s="47">
        <v>0.58530000000000004</v>
      </c>
      <c r="I61" s="47">
        <v>0.48259999999999997</v>
      </c>
      <c r="J61" s="25">
        <f t="shared" si="0"/>
        <v>-0.17546557321031964</v>
      </c>
      <c r="K61" s="80">
        <f t="shared" si="9"/>
        <v>-10.270000000000007</v>
      </c>
      <c r="L61" s="47"/>
    </row>
    <row r="62" spans="2:12" x14ac:dyDescent="0.25">
      <c r="B62" s="275"/>
      <c r="C62" s="286" t="s">
        <v>56</v>
      </c>
      <c r="D62" s="67" t="s">
        <v>45</v>
      </c>
      <c r="E62" s="68">
        <v>373722</v>
      </c>
      <c r="F62" s="68">
        <v>371691</v>
      </c>
      <c r="G62" s="68">
        <v>382581</v>
      </c>
      <c r="H62" s="68">
        <v>373476</v>
      </c>
      <c r="I62" s="68">
        <v>388266</v>
      </c>
      <c r="J62" s="69">
        <f t="shared" si="0"/>
        <v>3.960093821289723E-2</v>
      </c>
      <c r="K62" s="68">
        <f t="shared" ref="K62:K63" si="10">I62-H62</f>
        <v>14790</v>
      </c>
      <c r="L62" s="69">
        <f t="shared" ref="L62:L63" si="11">I62/$I$62</f>
        <v>1</v>
      </c>
    </row>
    <row r="63" spans="2:12" x14ac:dyDescent="0.25">
      <c r="B63" s="275"/>
      <c r="C63" s="287"/>
      <c r="D63" s="26" t="s">
        <v>46</v>
      </c>
      <c r="E63" s="27">
        <v>44069</v>
      </c>
      <c r="F63" s="27">
        <v>44891</v>
      </c>
      <c r="G63" s="27">
        <v>46362</v>
      </c>
      <c r="H63" s="27">
        <v>44311</v>
      </c>
      <c r="I63" s="27">
        <v>47414</v>
      </c>
      <c r="J63" s="36">
        <f t="shared" si="0"/>
        <v>7.0027758344429092E-2</v>
      </c>
      <c r="K63" s="27">
        <f t="shared" si="10"/>
        <v>3103</v>
      </c>
      <c r="L63" s="38">
        <f t="shared" si="11"/>
        <v>0.12211731132780104</v>
      </c>
    </row>
    <row r="64" spans="2:12" x14ac:dyDescent="0.25">
      <c r="B64" s="275"/>
      <c r="C64" s="287"/>
      <c r="D64" s="4" t="s">
        <v>47</v>
      </c>
      <c r="E64" s="29">
        <v>39041</v>
      </c>
      <c r="F64" s="29">
        <v>37104</v>
      </c>
      <c r="G64" s="29">
        <v>38072</v>
      </c>
      <c r="H64" s="29">
        <v>37015</v>
      </c>
      <c r="I64" s="29">
        <v>37552</v>
      </c>
      <c r="J64" s="76">
        <f>I64/H64-1</f>
        <v>1.4507632041064422E-2</v>
      </c>
      <c r="K64" s="29">
        <f>I64-H64</f>
        <v>537</v>
      </c>
      <c r="L64" s="77">
        <f>I64/$I$62</f>
        <v>9.6717199033652182E-2</v>
      </c>
    </row>
    <row r="65" spans="2:12" x14ac:dyDescent="0.25">
      <c r="B65" s="275"/>
      <c r="C65" s="287"/>
      <c r="D65" s="4" t="s">
        <v>48</v>
      </c>
      <c r="E65" s="29">
        <v>844</v>
      </c>
      <c r="F65" s="29">
        <v>763</v>
      </c>
      <c r="G65" s="29">
        <v>912</v>
      </c>
      <c r="H65" s="29">
        <v>916</v>
      </c>
      <c r="I65" s="29">
        <v>905</v>
      </c>
      <c r="J65" s="76">
        <f t="shared" ref="J65:J72" si="12">I65/H65-1</f>
        <v>-1.2008733624454093E-2</v>
      </c>
      <c r="K65" s="29">
        <f t="shared" ref="K65:K72" si="13">I65-H65</f>
        <v>-11</v>
      </c>
      <c r="L65" s="77">
        <f t="shared" ref="L65:L72" si="14">I65/$I$62</f>
        <v>2.3308762549386244E-3</v>
      </c>
    </row>
    <row r="66" spans="2:12" x14ac:dyDescent="0.25">
      <c r="B66" s="275"/>
      <c r="C66" s="287"/>
      <c r="D66" s="4" t="s">
        <v>49</v>
      </c>
      <c r="E66" s="29">
        <v>4562</v>
      </c>
      <c r="F66" s="29">
        <v>4276</v>
      </c>
      <c r="G66" s="29">
        <v>4306</v>
      </c>
      <c r="H66" s="29">
        <v>4616</v>
      </c>
      <c r="I66" s="29">
        <v>4616</v>
      </c>
      <c r="J66" s="76">
        <f t="shared" si="12"/>
        <v>0</v>
      </c>
      <c r="K66" s="29">
        <f t="shared" si="13"/>
        <v>0</v>
      </c>
      <c r="L66" s="77">
        <f t="shared" si="14"/>
        <v>1.1888756677123415E-2</v>
      </c>
    </row>
    <row r="67" spans="2:12" x14ac:dyDescent="0.25">
      <c r="B67" s="275"/>
      <c r="C67" s="287"/>
      <c r="D67" s="4" t="s">
        <v>50</v>
      </c>
      <c r="E67" s="29">
        <v>18637</v>
      </c>
      <c r="F67" s="29">
        <v>19295</v>
      </c>
      <c r="G67" s="29">
        <v>20140</v>
      </c>
      <c r="H67" s="29">
        <v>20107</v>
      </c>
      <c r="I67" s="29">
        <v>20985</v>
      </c>
      <c r="J67" s="76">
        <f t="shared" si="12"/>
        <v>4.3666384841100081E-2</v>
      </c>
      <c r="K67" s="29">
        <f t="shared" si="13"/>
        <v>878</v>
      </c>
      <c r="L67" s="77">
        <f t="shared" si="14"/>
        <v>5.4047998021974623E-2</v>
      </c>
    </row>
    <row r="68" spans="2:12" x14ac:dyDescent="0.25">
      <c r="B68" s="275"/>
      <c r="C68" s="287"/>
      <c r="D68" s="4" t="s">
        <v>51</v>
      </c>
      <c r="E68" s="29">
        <v>663</v>
      </c>
      <c r="F68" s="29">
        <v>663</v>
      </c>
      <c r="G68" s="29">
        <v>673</v>
      </c>
      <c r="H68" s="29">
        <v>673</v>
      </c>
      <c r="I68" s="29">
        <v>663</v>
      </c>
      <c r="J68" s="76">
        <f t="shared" si="12"/>
        <v>-1.4858841010401136E-2</v>
      </c>
      <c r="K68" s="29">
        <f t="shared" si="13"/>
        <v>-10</v>
      </c>
      <c r="L68" s="77">
        <f t="shared" si="14"/>
        <v>1.7075922177064177E-3</v>
      </c>
    </row>
    <row r="69" spans="2:12" x14ac:dyDescent="0.25">
      <c r="B69" s="275"/>
      <c r="C69" s="287"/>
      <c r="D69" s="4" t="s">
        <v>52</v>
      </c>
      <c r="E69" s="29">
        <v>4653</v>
      </c>
      <c r="F69" s="29">
        <v>4791</v>
      </c>
      <c r="G69" s="29">
        <v>4797</v>
      </c>
      <c r="H69" s="29">
        <v>4605</v>
      </c>
      <c r="I69" s="29">
        <v>4891</v>
      </c>
      <c r="J69" s="76">
        <f t="shared" si="12"/>
        <v>6.2106406080347343E-2</v>
      </c>
      <c r="K69" s="29">
        <f t="shared" si="13"/>
        <v>286</v>
      </c>
      <c r="L69" s="77">
        <f t="shared" si="14"/>
        <v>1.2597033992160014E-2</v>
      </c>
    </row>
    <row r="70" spans="2:12" x14ac:dyDescent="0.25">
      <c r="B70" s="275"/>
      <c r="C70" s="287"/>
      <c r="D70" s="4" t="s">
        <v>53</v>
      </c>
      <c r="E70" s="29">
        <v>2640</v>
      </c>
      <c r="F70" s="29">
        <v>2646</v>
      </c>
      <c r="G70" s="29">
        <v>2773</v>
      </c>
      <c r="H70" s="29">
        <v>2675</v>
      </c>
      <c r="I70" s="29">
        <v>2924</v>
      </c>
      <c r="J70" s="76">
        <f t="shared" si="12"/>
        <v>9.3084112149532716E-2</v>
      </c>
      <c r="K70" s="29">
        <f t="shared" si="13"/>
        <v>249</v>
      </c>
      <c r="L70" s="77">
        <f t="shared" si="14"/>
        <v>7.5309195242436889E-3</v>
      </c>
    </row>
    <row r="71" spans="2:12" x14ac:dyDescent="0.25">
      <c r="B71" s="275"/>
      <c r="C71" s="287"/>
      <c r="D71" s="4" t="s">
        <v>54</v>
      </c>
      <c r="E71" s="29">
        <v>6412</v>
      </c>
      <c r="F71" s="29">
        <v>6415</v>
      </c>
      <c r="G71" s="29">
        <v>6415</v>
      </c>
      <c r="H71" s="29">
        <v>6497</v>
      </c>
      <c r="I71" s="29">
        <v>6395</v>
      </c>
      <c r="J71" s="40">
        <f t="shared" si="12"/>
        <v>-1.5699553640141639E-2</v>
      </c>
      <c r="K71" s="29">
        <f t="shared" si="13"/>
        <v>-102</v>
      </c>
      <c r="L71" s="42">
        <f t="shared" si="14"/>
        <v>1.6470667016941994E-2</v>
      </c>
    </row>
    <row r="72" spans="2:12" x14ac:dyDescent="0.25">
      <c r="B72" s="276"/>
      <c r="C72" s="288"/>
      <c r="D72" s="32" t="s">
        <v>55</v>
      </c>
      <c r="E72" s="73">
        <v>3053</v>
      </c>
      <c r="F72" s="73">
        <v>3053</v>
      </c>
      <c r="G72" s="73">
        <v>3077</v>
      </c>
      <c r="H72" s="73">
        <v>3077</v>
      </c>
      <c r="I72" s="73">
        <v>3077</v>
      </c>
      <c r="J72" s="65">
        <f t="shared" si="12"/>
        <v>0</v>
      </c>
      <c r="K72" s="73">
        <f t="shared" si="13"/>
        <v>0</v>
      </c>
      <c r="L72" s="56">
        <f t="shared" si="14"/>
        <v>7.9249792667913238E-3</v>
      </c>
    </row>
    <row r="73" spans="2:12" ht="7.5" customHeight="1" x14ac:dyDescent="0.25">
      <c r="B73" s="289"/>
      <c r="C73" s="289"/>
      <c r="D73" s="289"/>
      <c r="E73" s="289"/>
      <c r="F73" s="289"/>
      <c r="G73" s="289"/>
      <c r="H73" s="289"/>
      <c r="I73" s="289"/>
      <c r="J73" s="289"/>
      <c r="K73" s="289"/>
      <c r="L73" s="48"/>
    </row>
    <row r="74" spans="2:12" x14ac:dyDescent="0.25">
      <c r="B74" s="291" t="s">
        <v>57</v>
      </c>
      <c r="C74" s="291"/>
      <c r="D74" s="291"/>
      <c r="E74" s="291"/>
      <c r="F74" s="291"/>
      <c r="G74" s="291"/>
      <c r="H74" s="291"/>
      <c r="I74" s="291"/>
      <c r="J74" s="291"/>
      <c r="K74" s="291"/>
    </row>
    <row r="76" spans="2:12" x14ac:dyDescent="0.25">
      <c r="B76" s="57"/>
    </row>
    <row r="77" spans="2:12" ht="21.75" customHeight="1" thickBot="1" x14ac:dyDescent="0.3">
      <c r="B77" s="273" t="s">
        <v>58</v>
      </c>
      <c r="C77" s="273"/>
      <c r="D77" s="273"/>
      <c r="E77" s="273"/>
      <c r="F77" s="273"/>
      <c r="G77" s="273"/>
      <c r="H77" s="273"/>
      <c r="I77" s="273"/>
      <c r="J77" s="273"/>
      <c r="K77" s="273"/>
      <c r="L77" s="12"/>
    </row>
    <row r="78" spans="2:12" ht="6" customHeight="1" thickBot="1" x14ac:dyDescent="0.3"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</row>
    <row r="79" spans="2:12" ht="45" x14ac:dyDescent="0.25">
      <c r="B79" s="4"/>
      <c r="C79" s="4"/>
      <c r="D79" s="4"/>
      <c r="E79" s="13" t="s">
        <v>240</v>
      </c>
      <c r="F79" s="13" t="s">
        <v>241</v>
      </c>
      <c r="G79" s="13" t="s">
        <v>242</v>
      </c>
      <c r="H79" s="13" t="s">
        <v>243</v>
      </c>
      <c r="I79" s="13" t="s">
        <v>244</v>
      </c>
      <c r="J79" s="14" t="str">
        <f>CONCATENATE("var. ",RIGHT(I79,2),"/",RIGHT(H79,2))</f>
        <v>var. 26/25</v>
      </c>
      <c r="K79" s="14" t="str">
        <f>CONCATENATE("dif. ",RIGHT(I79,2),"/",RIGHT(H79,2))</f>
        <v>dif. 26/25</v>
      </c>
      <c r="L79" s="14" t="str">
        <f>CONCATENATE("cuota ",I79)</f>
        <v>cuota acumulado a julio 2026</v>
      </c>
    </row>
    <row r="80" spans="2:12" ht="15" customHeight="1" x14ac:dyDescent="0.25">
      <c r="B80" s="274" t="s">
        <v>44</v>
      </c>
      <c r="C80" s="277" t="s">
        <v>8</v>
      </c>
      <c r="D80" s="67" t="s">
        <v>45</v>
      </c>
      <c r="E80" s="68">
        <v>2658818</v>
      </c>
      <c r="F80" s="68">
        <v>2977588</v>
      </c>
      <c r="G80" s="68">
        <v>3169430</v>
      </c>
      <c r="H80" s="68">
        <v>3151846</v>
      </c>
      <c r="I80" s="68">
        <v>3143788</v>
      </c>
      <c r="J80" s="69">
        <f t="shared" ref="J80:J81" si="15">I80/H80-1</f>
        <v>-2.5565969910966713E-3</v>
      </c>
      <c r="K80" s="68">
        <f t="shared" ref="K80:K81" si="16">I80-H80</f>
        <v>-8058</v>
      </c>
      <c r="L80" s="69">
        <f t="shared" ref="L80:L81" si="17">I80/$I$80</f>
        <v>1</v>
      </c>
    </row>
    <row r="81" spans="2:13" ht="15" customHeight="1" x14ac:dyDescent="0.25">
      <c r="B81" s="275"/>
      <c r="C81" s="278"/>
      <c r="D81" s="15" t="s">
        <v>46</v>
      </c>
      <c r="E81" s="16">
        <v>993053</v>
      </c>
      <c r="F81" s="16">
        <v>1080435</v>
      </c>
      <c r="G81" s="16">
        <v>1125743</v>
      </c>
      <c r="H81" s="16">
        <v>1073331</v>
      </c>
      <c r="I81" s="16">
        <v>1077606</v>
      </c>
      <c r="J81" s="18">
        <f t="shared" si="15"/>
        <v>3.9829279131973205E-3</v>
      </c>
      <c r="K81" s="16">
        <f t="shared" si="16"/>
        <v>4275</v>
      </c>
      <c r="L81" s="18">
        <f t="shared" si="17"/>
        <v>0.34277311319974502</v>
      </c>
      <c r="M81" s="81"/>
    </row>
    <row r="82" spans="2:13" x14ac:dyDescent="0.25">
      <c r="B82" s="275"/>
      <c r="C82" s="278"/>
      <c r="D82" s="19" t="s">
        <v>47</v>
      </c>
      <c r="E82" s="20">
        <v>692851</v>
      </c>
      <c r="F82" s="20">
        <v>751128</v>
      </c>
      <c r="G82" s="20">
        <v>796018</v>
      </c>
      <c r="H82" s="20">
        <v>822258</v>
      </c>
      <c r="I82" s="20">
        <v>844127</v>
      </c>
      <c r="J82" s="63">
        <f>I82/H82-1</f>
        <v>2.6596275135055025E-2</v>
      </c>
      <c r="K82" s="20">
        <f>I82-H82</f>
        <v>21869</v>
      </c>
      <c r="L82" s="63">
        <f>I82/$I$80</f>
        <v>0.268506336941295</v>
      </c>
      <c r="M82" s="81"/>
    </row>
    <row r="83" spans="2:13" x14ac:dyDescent="0.25">
      <c r="B83" s="275"/>
      <c r="C83" s="278"/>
      <c r="D83" s="19" t="s">
        <v>48</v>
      </c>
      <c r="E83" s="20">
        <v>19165</v>
      </c>
      <c r="F83" s="20">
        <v>30291</v>
      </c>
      <c r="G83" s="20">
        <v>27053</v>
      </c>
      <c r="H83" s="20">
        <v>24470</v>
      </c>
      <c r="I83" s="20">
        <v>29731</v>
      </c>
      <c r="J83" s="63">
        <f t="shared" ref="J83:J136" si="18">I83/H83-1</f>
        <v>0.21499795668165089</v>
      </c>
      <c r="K83" s="20">
        <f t="shared" ref="K83:K112" si="19">I83-H83</f>
        <v>5261</v>
      </c>
      <c r="L83" s="63">
        <f t="shared" ref="L83:L90" si="20">I83/$I$80</f>
        <v>9.4570626263603009E-3</v>
      </c>
      <c r="M83" s="81"/>
    </row>
    <row r="84" spans="2:13" x14ac:dyDescent="0.25">
      <c r="B84" s="275"/>
      <c r="C84" s="278"/>
      <c r="D84" s="19" t="s">
        <v>49</v>
      </c>
      <c r="E84" s="20">
        <v>91869</v>
      </c>
      <c r="F84" s="20">
        <v>103711</v>
      </c>
      <c r="G84" s="20">
        <v>133707</v>
      </c>
      <c r="H84" s="20">
        <v>111695</v>
      </c>
      <c r="I84" s="20">
        <v>111055</v>
      </c>
      <c r="J84" s="63">
        <f t="shared" si="18"/>
        <v>-5.729889431039914E-3</v>
      </c>
      <c r="K84" s="20">
        <f t="shared" si="19"/>
        <v>-640</v>
      </c>
      <c r="L84" s="63">
        <f t="shared" si="20"/>
        <v>3.532521913055206E-2</v>
      </c>
      <c r="M84" s="81"/>
    </row>
    <row r="85" spans="2:13" x14ac:dyDescent="0.25">
      <c r="B85" s="275"/>
      <c r="C85" s="278"/>
      <c r="D85" s="19" t="s">
        <v>50</v>
      </c>
      <c r="E85" s="20">
        <v>395281</v>
      </c>
      <c r="F85" s="20">
        <v>455709</v>
      </c>
      <c r="G85" s="20">
        <v>526281</v>
      </c>
      <c r="H85" s="20">
        <v>537778</v>
      </c>
      <c r="I85" s="20">
        <v>519145</v>
      </c>
      <c r="J85" s="63">
        <f t="shared" si="18"/>
        <v>-3.4648126178460248E-2</v>
      </c>
      <c r="K85" s="20">
        <f t="shared" si="19"/>
        <v>-18633</v>
      </c>
      <c r="L85" s="63">
        <f t="shared" si="20"/>
        <v>0.16513359043294268</v>
      </c>
      <c r="M85" s="81"/>
    </row>
    <row r="86" spans="2:13" x14ac:dyDescent="0.25">
      <c r="B86" s="275"/>
      <c r="C86" s="278"/>
      <c r="D86" s="19" t="s">
        <v>51</v>
      </c>
      <c r="E86" s="20">
        <v>28946</v>
      </c>
      <c r="F86" s="20">
        <v>35023</v>
      </c>
      <c r="G86" s="20">
        <v>33791</v>
      </c>
      <c r="H86" s="20">
        <v>31909</v>
      </c>
      <c r="I86" s="20">
        <v>31112</v>
      </c>
      <c r="J86" s="63">
        <f t="shared" si="18"/>
        <v>-2.4977279137547437E-2</v>
      </c>
      <c r="K86" s="20">
        <f t="shared" si="19"/>
        <v>-797</v>
      </c>
      <c r="L86" s="63">
        <f t="shared" si="20"/>
        <v>9.8963416108210859E-3</v>
      </c>
      <c r="M86" s="81"/>
    </row>
    <row r="87" spans="2:13" x14ac:dyDescent="0.25">
      <c r="B87" s="275"/>
      <c r="C87" s="278"/>
      <c r="D87" s="19" t="s">
        <v>52</v>
      </c>
      <c r="E87" s="20">
        <v>107595</v>
      </c>
      <c r="F87" s="20">
        <v>148504</v>
      </c>
      <c r="G87" s="20">
        <v>138865</v>
      </c>
      <c r="H87" s="20">
        <v>151159</v>
      </c>
      <c r="I87" s="20">
        <v>132836</v>
      </c>
      <c r="J87" s="63">
        <f t="shared" si="18"/>
        <v>-0.12121673205035755</v>
      </c>
      <c r="K87" s="20">
        <f t="shared" si="19"/>
        <v>-18323</v>
      </c>
      <c r="L87" s="63">
        <f t="shared" si="20"/>
        <v>4.2253485285903503E-2</v>
      </c>
      <c r="M87" s="81"/>
    </row>
    <row r="88" spans="2:13" x14ac:dyDescent="0.25">
      <c r="B88" s="275"/>
      <c r="C88" s="278"/>
      <c r="D88" s="19" t="s">
        <v>53</v>
      </c>
      <c r="E88" s="20">
        <v>122504</v>
      </c>
      <c r="F88" s="20">
        <v>144321</v>
      </c>
      <c r="G88" s="20">
        <v>146578</v>
      </c>
      <c r="H88" s="20">
        <v>164634</v>
      </c>
      <c r="I88" s="20">
        <v>168537</v>
      </c>
      <c r="J88" s="63">
        <f t="shared" si="18"/>
        <v>2.3707132184117574E-2</v>
      </c>
      <c r="K88" s="20">
        <f t="shared" si="19"/>
        <v>3903</v>
      </c>
      <c r="L88" s="63">
        <f t="shared" si="20"/>
        <v>5.3609530922568573E-2</v>
      </c>
      <c r="M88" s="81"/>
    </row>
    <row r="89" spans="2:13" ht="18" customHeight="1" x14ac:dyDescent="0.25">
      <c r="B89" s="275"/>
      <c r="C89" s="278"/>
      <c r="D89" s="19" t="s">
        <v>54</v>
      </c>
      <c r="E89" s="20">
        <v>145637</v>
      </c>
      <c r="F89" s="20">
        <v>159812</v>
      </c>
      <c r="G89" s="20">
        <v>167855</v>
      </c>
      <c r="H89" s="20">
        <v>164017</v>
      </c>
      <c r="I89" s="20">
        <v>168720</v>
      </c>
      <c r="J89" s="22">
        <f t="shared" si="18"/>
        <v>2.8673856978240098E-2</v>
      </c>
      <c r="K89" s="20">
        <f t="shared" si="19"/>
        <v>4703</v>
      </c>
      <c r="L89" s="22">
        <f t="shared" si="20"/>
        <v>5.3667740954542735E-2</v>
      </c>
      <c r="M89" s="81"/>
    </row>
    <row r="90" spans="2:13" x14ac:dyDescent="0.25">
      <c r="B90" s="275"/>
      <c r="C90" s="279"/>
      <c r="D90" s="23" t="s">
        <v>55</v>
      </c>
      <c r="E90" s="71">
        <v>61917</v>
      </c>
      <c r="F90" s="71">
        <v>68654</v>
      </c>
      <c r="G90" s="71">
        <v>73539</v>
      </c>
      <c r="H90" s="71">
        <v>70595</v>
      </c>
      <c r="I90" s="71">
        <v>60919</v>
      </c>
      <c r="J90" s="47">
        <f t="shared" si="18"/>
        <v>-0.13706353141157301</v>
      </c>
      <c r="K90" s="71">
        <f t="shared" si="19"/>
        <v>-9676</v>
      </c>
      <c r="L90" s="47">
        <f t="shared" si="20"/>
        <v>1.9377578895269018E-2</v>
      </c>
      <c r="M90" s="81"/>
    </row>
    <row r="91" spans="2:13" x14ac:dyDescent="0.25">
      <c r="B91" s="275"/>
      <c r="C91" s="280" t="s">
        <v>18</v>
      </c>
      <c r="D91" s="67" t="s">
        <v>45</v>
      </c>
      <c r="E91" s="68">
        <v>3127308</v>
      </c>
      <c r="F91" s="68">
        <v>3518867</v>
      </c>
      <c r="G91" s="68">
        <v>3747172</v>
      </c>
      <c r="H91" s="68">
        <v>3699270</v>
      </c>
      <c r="I91" s="68">
        <v>3696365</v>
      </c>
      <c r="J91" s="69">
        <f t="shared" si="18"/>
        <v>-7.8529007074368273E-4</v>
      </c>
      <c r="K91" s="68">
        <f t="shared" si="19"/>
        <v>-2905</v>
      </c>
      <c r="L91" s="69">
        <f t="shared" ref="L91:L92" si="21">I91/$I$91</f>
        <v>1</v>
      </c>
    </row>
    <row r="92" spans="2:13" x14ac:dyDescent="0.25">
      <c r="B92" s="275"/>
      <c r="C92" s="281"/>
      <c r="D92" s="26" t="s">
        <v>46</v>
      </c>
      <c r="E92" s="27">
        <v>1189041</v>
      </c>
      <c r="F92" s="27">
        <v>1300189</v>
      </c>
      <c r="G92" s="27">
        <v>1355057</v>
      </c>
      <c r="H92" s="27">
        <v>1283722</v>
      </c>
      <c r="I92" s="27">
        <v>1295476</v>
      </c>
      <c r="J92" s="82">
        <f t="shared" si="18"/>
        <v>9.1561880220172309E-3</v>
      </c>
      <c r="K92" s="27">
        <f t="shared" si="19"/>
        <v>11754</v>
      </c>
      <c r="L92" s="38">
        <f t="shared" si="21"/>
        <v>0.35047296465581729</v>
      </c>
    </row>
    <row r="93" spans="2:13" x14ac:dyDescent="0.25">
      <c r="B93" s="275"/>
      <c r="C93" s="281"/>
      <c r="D93" s="4" t="s">
        <v>47</v>
      </c>
      <c r="E93" s="29">
        <v>824563</v>
      </c>
      <c r="F93" s="29">
        <v>905753</v>
      </c>
      <c r="G93" s="29">
        <v>957908</v>
      </c>
      <c r="H93" s="29">
        <v>981564</v>
      </c>
      <c r="I93" s="29">
        <v>1003702</v>
      </c>
      <c r="J93" s="83">
        <f t="shared" si="18"/>
        <v>2.2553801891674885E-2</v>
      </c>
      <c r="K93" s="29">
        <f t="shared" si="19"/>
        <v>22138</v>
      </c>
      <c r="L93" s="77">
        <f>I93/$I$91</f>
        <v>0.27153757813419399</v>
      </c>
    </row>
    <row r="94" spans="2:13" x14ac:dyDescent="0.25">
      <c r="B94" s="275"/>
      <c r="C94" s="281"/>
      <c r="D94" s="4" t="s">
        <v>48</v>
      </c>
      <c r="E94" s="29">
        <v>21504</v>
      </c>
      <c r="F94" s="29">
        <v>32658</v>
      </c>
      <c r="G94" s="29">
        <v>29629</v>
      </c>
      <c r="H94" s="29">
        <v>27330</v>
      </c>
      <c r="I94" s="29">
        <v>32291</v>
      </c>
      <c r="J94" s="83">
        <f t="shared" si="18"/>
        <v>0.18152213684595675</v>
      </c>
      <c r="K94" s="29">
        <f t="shared" si="19"/>
        <v>4961</v>
      </c>
      <c r="L94" s="77">
        <f t="shared" ref="L94:L101" si="22">I94/$I$91</f>
        <v>8.7358797088490994E-3</v>
      </c>
    </row>
    <row r="95" spans="2:13" x14ac:dyDescent="0.25">
      <c r="B95" s="275"/>
      <c r="C95" s="281"/>
      <c r="D95" s="4" t="s">
        <v>49</v>
      </c>
      <c r="E95" s="29">
        <v>106766</v>
      </c>
      <c r="F95" s="29">
        <v>119924</v>
      </c>
      <c r="G95" s="29">
        <v>155107</v>
      </c>
      <c r="H95" s="29">
        <v>129030</v>
      </c>
      <c r="I95" s="29">
        <v>129131</v>
      </c>
      <c r="J95" s="83">
        <f t="shared" si="18"/>
        <v>7.8276369836483006E-4</v>
      </c>
      <c r="K95" s="29">
        <f t="shared" si="19"/>
        <v>101</v>
      </c>
      <c r="L95" s="77">
        <f t="shared" si="22"/>
        <v>3.4934591145625499E-2</v>
      </c>
    </row>
    <row r="96" spans="2:13" x14ac:dyDescent="0.25">
      <c r="B96" s="275"/>
      <c r="C96" s="281"/>
      <c r="D96" s="4" t="s">
        <v>50</v>
      </c>
      <c r="E96" s="29">
        <v>456752</v>
      </c>
      <c r="F96" s="29">
        <v>533076</v>
      </c>
      <c r="G96" s="29">
        <v>613010</v>
      </c>
      <c r="H96" s="29">
        <v>622671</v>
      </c>
      <c r="I96" s="29">
        <v>602049</v>
      </c>
      <c r="J96" s="83">
        <f t="shared" si="18"/>
        <v>-3.3118613200229352E-2</v>
      </c>
      <c r="K96" s="29">
        <f t="shared" si="19"/>
        <v>-20622</v>
      </c>
      <c r="L96" s="77">
        <f t="shared" si="22"/>
        <v>0.16287596057207554</v>
      </c>
    </row>
    <row r="97" spans="2:12" x14ac:dyDescent="0.25">
      <c r="B97" s="275"/>
      <c r="C97" s="281"/>
      <c r="D97" s="4" t="s">
        <v>51</v>
      </c>
      <c r="E97" s="29">
        <v>30304</v>
      </c>
      <c r="F97" s="29">
        <v>36788</v>
      </c>
      <c r="G97" s="29">
        <v>35530</v>
      </c>
      <c r="H97" s="29">
        <v>33664</v>
      </c>
      <c r="I97" s="29">
        <v>32724</v>
      </c>
      <c r="J97" s="83">
        <f t="shared" si="18"/>
        <v>-2.792300380228141E-2</v>
      </c>
      <c r="K97" s="29">
        <f t="shared" si="19"/>
        <v>-940</v>
      </c>
      <c r="L97" s="77">
        <f t="shared" si="22"/>
        <v>8.8530218200854084E-3</v>
      </c>
    </row>
    <row r="98" spans="2:12" x14ac:dyDescent="0.25">
      <c r="B98" s="275"/>
      <c r="C98" s="281"/>
      <c r="D98" s="4" t="s">
        <v>52</v>
      </c>
      <c r="E98" s="29">
        <v>127213</v>
      </c>
      <c r="F98" s="29">
        <v>167746</v>
      </c>
      <c r="G98" s="29">
        <v>161937</v>
      </c>
      <c r="H98" s="29">
        <v>172922</v>
      </c>
      <c r="I98" s="29">
        <v>153954</v>
      </c>
      <c r="J98" s="83">
        <f t="shared" si="18"/>
        <v>-0.10969107458854277</v>
      </c>
      <c r="K98" s="29">
        <f t="shared" si="19"/>
        <v>-18968</v>
      </c>
      <c r="L98" s="77">
        <f t="shared" si="22"/>
        <v>4.1650107605715345E-2</v>
      </c>
    </row>
    <row r="99" spans="2:12" x14ac:dyDescent="0.25">
      <c r="B99" s="275"/>
      <c r="C99" s="281"/>
      <c r="D99" s="4" t="s">
        <v>53</v>
      </c>
      <c r="E99" s="29">
        <v>128348</v>
      </c>
      <c r="F99" s="29">
        <v>150641</v>
      </c>
      <c r="G99" s="29">
        <v>153105</v>
      </c>
      <c r="H99" s="29">
        <v>171430</v>
      </c>
      <c r="I99" s="29">
        <v>175021</v>
      </c>
      <c r="J99" s="83">
        <f t="shared" si="18"/>
        <v>2.0947325438954723E-2</v>
      </c>
      <c r="K99" s="29">
        <f t="shared" si="19"/>
        <v>3591</v>
      </c>
      <c r="L99" s="77">
        <f t="shared" si="22"/>
        <v>4.7349490648244966E-2</v>
      </c>
    </row>
    <row r="100" spans="2:12" x14ac:dyDescent="0.25">
      <c r="B100" s="275"/>
      <c r="C100" s="281"/>
      <c r="D100" s="4" t="s">
        <v>54</v>
      </c>
      <c r="E100" s="29">
        <v>172180</v>
      </c>
      <c r="F100" s="29">
        <v>190269</v>
      </c>
      <c r="G100" s="29">
        <v>201082</v>
      </c>
      <c r="H100" s="29">
        <v>195455</v>
      </c>
      <c r="I100" s="29">
        <v>202101</v>
      </c>
      <c r="J100" s="31">
        <f t="shared" si="18"/>
        <v>3.4002711621600845E-2</v>
      </c>
      <c r="K100" s="29">
        <f t="shared" si="19"/>
        <v>6646</v>
      </c>
      <c r="L100" s="42">
        <f t="shared" si="22"/>
        <v>5.4675606981453399E-2</v>
      </c>
    </row>
    <row r="101" spans="2:12" x14ac:dyDescent="0.25">
      <c r="B101" s="275"/>
      <c r="C101" s="282"/>
      <c r="D101" s="32" t="s">
        <v>55</v>
      </c>
      <c r="E101" s="73">
        <v>70637</v>
      </c>
      <c r="F101" s="73">
        <v>81823</v>
      </c>
      <c r="G101" s="73">
        <v>84807</v>
      </c>
      <c r="H101" s="73">
        <v>81482</v>
      </c>
      <c r="I101" s="73">
        <v>69916</v>
      </c>
      <c r="J101" s="74">
        <f t="shared" si="18"/>
        <v>-0.14194546034707056</v>
      </c>
      <c r="K101" s="73">
        <f t="shared" si="19"/>
        <v>-11566</v>
      </c>
      <c r="L101" s="56">
        <f t="shared" si="22"/>
        <v>1.8914798727939476E-2</v>
      </c>
    </row>
    <row r="102" spans="2:12" x14ac:dyDescent="0.25">
      <c r="B102" s="275"/>
      <c r="C102" s="277" t="s">
        <v>21</v>
      </c>
      <c r="D102" s="67" t="s">
        <v>45</v>
      </c>
      <c r="E102" s="68">
        <v>17324543</v>
      </c>
      <c r="F102" s="68">
        <v>19516285</v>
      </c>
      <c r="G102" s="68">
        <v>20758711</v>
      </c>
      <c r="H102" s="68">
        <v>20157176</v>
      </c>
      <c r="I102" s="68">
        <v>19735608</v>
      </c>
      <c r="J102" s="69">
        <f t="shared" si="18"/>
        <v>-2.0914040736658701E-2</v>
      </c>
      <c r="K102" s="68">
        <f t="shared" si="19"/>
        <v>-421568</v>
      </c>
      <c r="L102" s="69">
        <f t="shared" ref="L102:L103" si="23">I102/$I$102</f>
        <v>1</v>
      </c>
    </row>
    <row r="103" spans="2:12" x14ac:dyDescent="0.25">
      <c r="B103" s="275"/>
      <c r="C103" s="278"/>
      <c r="D103" s="15" t="s">
        <v>46</v>
      </c>
      <c r="E103" s="16">
        <v>7078492</v>
      </c>
      <c r="F103" s="16">
        <v>7705489</v>
      </c>
      <c r="G103" s="16">
        <v>7945816</v>
      </c>
      <c r="H103" s="16">
        <v>7531582</v>
      </c>
      <c r="I103" s="16">
        <v>7603356</v>
      </c>
      <c r="J103" s="18">
        <f t="shared" si="18"/>
        <v>9.5297375770455606E-3</v>
      </c>
      <c r="K103" s="16">
        <f t="shared" si="19"/>
        <v>71774</v>
      </c>
      <c r="L103" s="18">
        <f t="shared" si="23"/>
        <v>0.38526079358690141</v>
      </c>
    </row>
    <row r="104" spans="2:12" x14ac:dyDescent="0.25">
      <c r="B104" s="275"/>
      <c r="C104" s="278"/>
      <c r="D104" s="19" t="s">
        <v>47</v>
      </c>
      <c r="E104" s="20">
        <v>4842970</v>
      </c>
      <c r="F104" s="20">
        <v>5450292</v>
      </c>
      <c r="G104" s="20">
        <v>5746427</v>
      </c>
      <c r="H104" s="20">
        <v>5753103</v>
      </c>
      <c r="I104" s="20">
        <v>5670043</v>
      </c>
      <c r="J104" s="63">
        <f t="shared" si="18"/>
        <v>-1.4437426202868253E-2</v>
      </c>
      <c r="K104" s="20">
        <f t="shared" si="19"/>
        <v>-83060</v>
      </c>
      <c r="L104" s="63">
        <f>I104/$I$102</f>
        <v>0.28730014297000628</v>
      </c>
    </row>
    <row r="105" spans="2:12" x14ac:dyDescent="0.25">
      <c r="B105" s="275"/>
      <c r="C105" s="278"/>
      <c r="D105" s="19" t="s">
        <v>48</v>
      </c>
      <c r="E105" s="20">
        <v>90655</v>
      </c>
      <c r="F105" s="20">
        <v>98032</v>
      </c>
      <c r="G105" s="20">
        <v>106202</v>
      </c>
      <c r="H105" s="20">
        <v>111349</v>
      </c>
      <c r="I105" s="20">
        <v>104885</v>
      </c>
      <c r="J105" s="63">
        <f t="shared" si="18"/>
        <v>-5.8051711286136398E-2</v>
      </c>
      <c r="K105" s="20">
        <f t="shared" si="19"/>
        <v>-6464</v>
      </c>
      <c r="L105" s="63">
        <f t="shared" ref="L105:L112" si="24">I105/$I$102</f>
        <v>5.3145056387419124E-3</v>
      </c>
    </row>
    <row r="106" spans="2:12" x14ac:dyDescent="0.25">
      <c r="B106" s="275"/>
      <c r="C106" s="278"/>
      <c r="D106" s="19" t="s">
        <v>49</v>
      </c>
      <c r="E106" s="20">
        <v>528576</v>
      </c>
      <c r="F106" s="20">
        <v>604354</v>
      </c>
      <c r="G106" s="20">
        <v>789627</v>
      </c>
      <c r="H106" s="20">
        <v>648050</v>
      </c>
      <c r="I106" s="20">
        <v>643441</v>
      </c>
      <c r="J106" s="63">
        <f t="shared" si="18"/>
        <v>-7.1121055474114847E-3</v>
      </c>
      <c r="K106" s="20">
        <f t="shared" si="19"/>
        <v>-4609</v>
      </c>
      <c r="L106" s="63">
        <f t="shared" si="24"/>
        <v>3.2603049270131426E-2</v>
      </c>
    </row>
    <row r="107" spans="2:12" x14ac:dyDescent="0.25">
      <c r="B107" s="275"/>
      <c r="C107" s="278"/>
      <c r="D107" s="19" t="s">
        <v>50</v>
      </c>
      <c r="E107" s="20">
        <v>2370169</v>
      </c>
      <c r="F107" s="20">
        <v>2888398</v>
      </c>
      <c r="G107" s="20">
        <v>3278654</v>
      </c>
      <c r="H107" s="20">
        <v>3255836</v>
      </c>
      <c r="I107" s="20">
        <v>3059823</v>
      </c>
      <c r="J107" s="63">
        <f t="shared" si="18"/>
        <v>-6.0203585192865949E-2</v>
      </c>
      <c r="K107" s="20">
        <f t="shared" si="19"/>
        <v>-196013</v>
      </c>
      <c r="L107" s="63">
        <f t="shared" si="24"/>
        <v>0.15504072638653948</v>
      </c>
    </row>
    <row r="108" spans="2:12" x14ac:dyDescent="0.25">
      <c r="B108" s="275"/>
      <c r="C108" s="278"/>
      <c r="D108" s="19" t="s">
        <v>51</v>
      </c>
      <c r="E108" s="20">
        <v>79758</v>
      </c>
      <c r="F108" s="20">
        <v>89670</v>
      </c>
      <c r="G108" s="20">
        <v>91218</v>
      </c>
      <c r="H108" s="20">
        <v>88503</v>
      </c>
      <c r="I108" s="20">
        <v>79471</v>
      </c>
      <c r="J108" s="63">
        <f t="shared" si="18"/>
        <v>-0.10205303775013275</v>
      </c>
      <c r="K108" s="20">
        <f t="shared" si="19"/>
        <v>-9032</v>
      </c>
      <c r="L108" s="63">
        <f t="shared" si="24"/>
        <v>4.0267824533199081E-3</v>
      </c>
    </row>
    <row r="109" spans="2:12" x14ac:dyDescent="0.25">
      <c r="B109" s="275"/>
      <c r="C109" s="278"/>
      <c r="D109" s="19" t="s">
        <v>52</v>
      </c>
      <c r="E109" s="20">
        <v>716456</v>
      </c>
      <c r="F109" s="20">
        <v>803223</v>
      </c>
      <c r="G109" s="20">
        <v>845212</v>
      </c>
      <c r="H109" s="20">
        <v>843024</v>
      </c>
      <c r="I109" s="20">
        <v>729932</v>
      </c>
      <c r="J109" s="63">
        <f t="shared" si="18"/>
        <v>-0.13415039192241263</v>
      </c>
      <c r="K109" s="20">
        <f t="shared" si="19"/>
        <v>-113092</v>
      </c>
      <c r="L109" s="63">
        <f t="shared" si="24"/>
        <v>3.6985533964801087E-2</v>
      </c>
    </row>
    <row r="110" spans="2:12" x14ac:dyDescent="0.25">
      <c r="B110" s="275"/>
      <c r="C110" s="278"/>
      <c r="D110" s="19" t="s">
        <v>53</v>
      </c>
      <c r="E110" s="20">
        <v>301230</v>
      </c>
      <c r="F110" s="20">
        <v>335879</v>
      </c>
      <c r="G110" s="20">
        <v>346106</v>
      </c>
      <c r="H110" s="20">
        <v>351506</v>
      </c>
      <c r="I110" s="20">
        <v>362919</v>
      </c>
      <c r="J110" s="63">
        <f t="shared" si="18"/>
        <v>3.2468862551421562E-2</v>
      </c>
      <c r="K110" s="20">
        <f t="shared" si="19"/>
        <v>11413</v>
      </c>
      <c r="L110" s="63">
        <f t="shared" si="24"/>
        <v>1.8389045830257675E-2</v>
      </c>
    </row>
    <row r="111" spans="2:12" x14ac:dyDescent="0.25">
      <c r="B111" s="275"/>
      <c r="C111" s="278"/>
      <c r="D111" s="19" t="s">
        <v>54</v>
      </c>
      <c r="E111" s="20">
        <v>975225</v>
      </c>
      <c r="F111" s="20">
        <v>1070924</v>
      </c>
      <c r="G111" s="20">
        <v>1164882</v>
      </c>
      <c r="H111" s="20">
        <v>1151383</v>
      </c>
      <c r="I111" s="20">
        <v>1149427</v>
      </c>
      <c r="J111" s="22">
        <f t="shared" si="18"/>
        <v>-1.6988265416459924E-3</v>
      </c>
      <c r="K111" s="20">
        <f t="shared" si="19"/>
        <v>-1956</v>
      </c>
      <c r="L111" s="22">
        <f t="shared" si="24"/>
        <v>5.8241276377195977E-2</v>
      </c>
    </row>
    <row r="112" spans="2:12" x14ac:dyDescent="0.25">
      <c r="B112" s="275"/>
      <c r="C112" s="279"/>
      <c r="D112" s="23" t="s">
        <v>55</v>
      </c>
      <c r="E112" s="71">
        <v>341012</v>
      </c>
      <c r="F112" s="71">
        <v>470024</v>
      </c>
      <c r="G112" s="71">
        <v>444567</v>
      </c>
      <c r="H112" s="71">
        <v>422840</v>
      </c>
      <c r="I112" s="71">
        <v>332311</v>
      </c>
      <c r="J112" s="47">
        <f t="shared" si="18"/>
        <v>-0.21409753098098572</v>
      </c>
      <c r="K112" s="71">
        <f t="shared" si="19"/>
        <v>-90529</v>
      </c>
      <c r="L112" s="47">
        <f t="shared" si="24"/>
        <v>1.6838143522104818E-2</v>
      </c>
    </row>
    <row r="113" spans="2:12" x14ac:dyDescent="0.25">
      <c r="B113" s="275"/>
      <c r="C113" s="280" t="s">
        <v>22</v>
      </c>
      <c r="D113" s="67" t="s">
        <v>45</v>
      </c>
      <c r="E113" s="75">
        <f t="shared" ref="E113:I114" si="25">E102/E80</f>
        <v>6.5158814932048754</v>
      </c>
      <c r="F113" s="75">
        <f t="shared" si="25"/>
        <v>6.5543940263058555</v>
      </c>
      <c r="G113" s="75">
        <f t="shared" si="25"/>
        <v>6.5496669748188161</v>
      </c>
      <c r="H113" s="75">
        <f t="shared" si="25"/>
        <v>6.3953556106484895</v>
      </c>
      <c r="I113" s="75">
        <f t="shared" si="25"/>
        <v>6.2776523098885804</v>
      </c>
      <c r="J113" s="69">
        <f t="shared" si="18"/>
        <v>-1.8404496626259426E-2</v>
      </c>
      <c r="K113" s="75">
        <f t="shared" ref="K113:K114" si="26">(I113-H113)</f>
        <v>-0.11770330075990909</v>
      </c>
      <c r="L113" s="69"/>
    </row>
    <row r="114" spans="2:12" x14ac:dyDescent="0.25">
      <c r="B114" s="275"/>
      <c r="C114" s="281"/>
      <c r="D114" s="26" t="s">
        <v>46</v>
      </c>
      <c r="E114" s="37">
        <f t="shared" si="25"/>
        <v>7.1280102874670339</v>
      </c>
      <c r="F114" s="37">
        <f t="shared" si="25"/>
        <v>7.1318394905755556</v>
      </c>
      <c r="G114" s="37">
        <f t="shared" si="25"/>
        <v>7.0582859498127011</v>
      </c>
      <c r="H114" s="37">
        <f t="shared" si="25"/>
        <v>7.0170171177390754</v>
      </c>
      <c r="I114" s="37">
        <f t="shared" si="25"/>
        <v>7.0557847673453935</v>
      </c>
      <c r="J114" s="82">
        <f t="shared" si="18"/>
        <v>5.5248047647358245E-3</v>
      </c>
      <c r="K114" s="37">
        <f t="shared" si="26"/>
        <v>3.8767649606318066E-2</v>
      </c>
      <c r="L114" s="38"/>
    </row>
    <row r="115" spans="2:12" x14ac:dyDescent="0.25">
      <c r="B115" s="275"/>
      <c r="C115" s="281"/>
      <c r="D115" s="4" t="s">
        <v>47</v>
      </c>
      <c r="E115" s="41">
        <f>E104/E82</f>
        <v>6.9899155806948388</v>
      </c>
      <c r="F115" s="41">
        <f>F104/F82</f>
        <v>7.2561427612870242</v>
      </c>
      <c r="G115" s="41">
        <f>G104/G82</f>
        <v>7.2189661540316932</v>
      </c>
      <c r="H115" s="41">
        <f>H104/H82</f>
        <v>6.9967127106090787</v>
      </c>
      <c r="I115" s="41">
        <f>I104/I82</f>
        <v>6.7170496856515669</v>
      </c>
      <c r="J115" s="83">
        <f t="shared" si="18"/>
        <v>-3.9970631427164394E-2</v>
      </c>
      <c r="K115" s="41">
        <f>(I115-H115)</f>
        <v>-0.27966302495751183</v>
      </c>
      <c r="L115" s="77"/>
    </row>
    <row r="116" spans="2:12" x14ac:dyDescent="0.25">
      <c r="B116" s="275"/>
      <c r="C116" s="281"/>
      <c r="D116" s="4" t="s">
        <v>48</v>
      </c>
      <c r="E116" s="41">
        <f t="shared" ref="E116:I123" si="27">E105/E83</f>
        <v>4.730237411948865</v>
      </c>
      <c r="F116" s="41">
        <f t="shared" si="27"/>
        <v>3.2363408273084415</v>
      </c>
      <c r="G116" s="41">
        <f t="shared" si="27"/>
        <v>3.9257014009536837</v>
      </c>
      <c r="H116" s="41">
        <f t="shared" si="27"/>
        <v>4.5504290968532901</v>
      </c>
      <c r="I116" s="41">
        <f t="shared" si="27"/>
        <v>3.5277992667586022</v>
      </c>
      <c r="J116" s="83">
        <f t="shared" si="18"/>
        <v>-0.22473261495313845</v>
      </c>
      <c r="K116" s="41">
        <f t="shared" ref="K116:K123" si="28">(I116-H116)</f>
        <v>-1.0226298300946879</v>
      </c>
      <c r="L116" s="77"/>
    </row>
    <row r="117" spans="2:12" x14ac:dyDescent="0.25">
      <c r="B117" s="275"/>
      <c r="C117" s="281"/>
      <c r="D117" s="4" t="s">
        <v>49</v>
      </c>
      <c r="E117" s="41">
        <f t="shared" si="27"/>
        <v>5.7535839075204915</v>
      </c>
      <c r="F117" s="41">
        <f t="shared" si="27"/>
        <v>5.8272892942889376</v>
      </c>
      <c r="G117" s="41">
        <f t="shared" si="27"/>
        <v>5.9056519105207652</v>
      </c>
      <c r="H117" s="41">
        <f t="shared" si="27"/>
        <v>5.8019606965396839</v>
      </c>
      <c r="I117" s="41">
        <f t="shared" si="27"/>
        <v>5.7938949169330511</v>
      </c>
      <c r="J117" s="83">
        <f t="shared" si="18"/>
        <v>-1.3901817038235453E-3</v>
      </c>
      <c r="K117" s="41">
        <f t="shared" si="28"/>
        <v>-8.0657796066327947E-3</v>
      </c>
      <c r="L117" s="77"/>
    </row>
    <row r="118" spans="2:12" x14ac:dyDescent="0.25">
      <c r="B118" s="275"/>
      <c r="C118" s="281"/>
      <c r="D118" s="4" t="s">
        <v>50</v>
      </c>
      <c r="E118" s="41">
        <f t="shared" si="27"/>
        <v>5.996162223835702</v>
      </c>
      <c r="F118" s="41">
        <f t="shared" si="27"/>
        <v>6.3382509452303992</v>
      </c>
      <c r="G118" s="41">
        <f t="shared" si="27"/>
        <v>6.229854393375402</v>
      </c>
      <c r="H118" s="41">
        <f t="shared" si="27"/>
        <v>6.054237994116531</v>
      </c>
      <c r="I118" s="41">
        <f t="shared" si="27"/>
        <v>5.8939660403162897</v>
      </c>
      <c r="J118" s="83">
        <f t="shared" si="18"/>
        <v>-2.6472688050253823E-2</v>
      </c>
      <c r="K118" s="41">
        <f t="shared" si="28"/>
        <v>-0.16027195380024128</v>
      </c>
      <c r="L118" s="77"/>
    </row>
    <row r="119" spans="2:12" x14ac:dyDescent="0.25">
      <c r="B119" s="275"/>
      <c r="C119" s="281"/>
      <c r="D119" s="4" t="s">
        <v>51</v>
      </c>
      <c r="E119" s="41">
        <f t="shared" si="27"/>
        <v>2.7554066192219997</v>
      </c>
      <c r="F119" s="41">
        <f t="shared" si="27"/>
        <v>2.5603175056391514</v>
      </c>
      <c r="G119" s="41">
        <f t="shared" si="27"/>
        <v>2.6994761918854131</v>
      </c>
      <c r="H119" s="41">
        <f t="shared" si="27"/>
        <v>2.7736061926102353</v>
      </c>
      <c r="I119" s="41">
        <f t="shared" si="27"/>
        <v>2.5543520185137569</v>
      </c>
      <c r="J119" s="83">
        <f t="shared" si="18"/>
        <v>-7.9050217972775227E-2</v>
      </c>
      <c r="K119" s="41">
        <f t="shared" si="28"/>
        <v>-0.2192541740964784</v>
      </c>
      <c r="L119" s="77"/>
    </row>
    <row r="120" spans="2:12" x14ac:dyDescent="0.25">
      <c r="B120" s="275"/>
      <c r="C120" s="281"/>
      <c r="D120" s="4" t="s">
        <v>52</v>
      </c>
      <c r="E120" s="41">
        <f t="shared" si="27"/>
        <v>6.658822435986802</v>
      </c>
      <c r="F120" s="41">
        <f t="shared" si="27"/>
        <v>5.4087634003124494</v>
      </c>
      <c r="G120" s="41">
        <f t="shared" si="27"/>
        <v>6.0865732906059842</v>
      </c>
      <c r="H120" s="41">
        <f t="shared" si="27"/>
        <v>5.5770678557016122</v>
      </c>
      <c r="I120" s="41">
        <f t="shared" si="27"/>
        <v>5.4949862988948777</v>
      </c>
      <c r="J120" s="83">
        <f t="shared" si="18"/>
        <v>-1.4717690178867038E-2</v>
      </c>
      <c r="K120" s="41">
        <f t="shared" si="28"/>
        <v>-8.2081556806734568E-2</v>
      </c>
      <c r="L120" s="77"/>
    </row>
    <row r="121" spans="2:12" x14ac:dyDescent="0.25">
      <c r="B121" s="275"/>
      <c r="C121" s="281"/>
      <c r="D121" s="4" t="s">
        <v>53</v>
      </c>
      <c r="E121" s="41">
        <f t="shared" si="27"/>
        <v>2.4589401162411022</v>
      </c>
      <c r="F121" s="41">
        <f t="shared" si="27"/>
        <v>2.3273051045932331</v>
      </c>
      <c r="G121" s="41">
        <f t="shared" si="27"/>
        <v>2.3612411139461584</v>
      </c>
      <c r="H121" s="41">
        <f t="shared" si="27"/>
        <v>2.1350753793262629</v>
      </c>
      <c r="I121" s="41">
        <f t="shared" si="27"/>
        <v>2.1533491162178038</v>
      </c>
      <c r="J121" s="83">
        <f t="shared" si="18"/>
        <v>8.5588251677124472E-3</v>
      </c>
      <c r="K121" s="41">
        <f t="shared" si="28"/>
        <v>1.8273736891540882E-2</v>
      </c>
      <c r="L121" s="77"/>
    </row>
    <row r="122" spans="2:12" x14ac:dyDescent="0.25">
      <c r="B122" s="275"/>
      <c r="C122" s="281"/>
      <c r="D122" s="4" t="s">
        <v>54</v>
      </c>
      <c r="E122" s="41">
        <f t="shared" si="27"/>
        <v>6.6962722385108178</v>
      </c>
      <c r="F122" s="41">
        <f t="shared" si="27"/>
        <v>6.7011488498986305</v>
      </c>
      <c r="G122" s="41">
        <f t="shared" si="27"/>
        <v>6.9398111465252752</v>
      </c>
      <c r="H122" s="41">
        <f t="shared" si="27"/>
        <v>7.0199003761805177</v>
      </c>
      <c r="I122" s="41">
        <f t="shared" si="27"/>
        <v>6.8126303935514461</v>
      </c>
      <c r="J122" s="31">
        <f t="shared" si="18"/>
        <v>-2.9526057568048492E-2</v>
      </c>
      <c r="K122" s="41">
        <f t="shared" si="28"/>
        <v>-0.20726998262907159</v>
      </c>
      <c r="L122" s="42"/>
    </row>
    <row r="123" spans="2:12" x14ac:dyDescent="0.25">
      <c r="B123" s="275"/>
      <c r="C123" s="282"/>
      <c r="D123" s="32" t="s">
        <v>55</v>
      </c>
      <c r="E123" s="79">
        <f t="shared" si="27"/>
        <v>5.507566581068204</v>
      </c>
      <c r="F123" s="79">
        <f t="shared" si="27"/>
        <v>6.8462726133947038</v>
      </c>
      <c r="G123" s="79">
        <f t="shared" si="27"/>
        <v>6.0453228898951581</v>
      </c>
      <c r="H123" s="79">
        <f t="shared" si="27"/>
        <v>5.9896593243147533</v>
      </c>
      <c r="I123" s="79">
        <f t="shared" si="27"/>
        <v>5.4549647893103961</v>
      </c>
      <c r="J123" s="74">
        <f t="shared" si="18"/>
        <v>-8.9269607176787003E-2</v>
      </c>
      <c r="K123" s="79">
        <f t="shared" si="28"/>
        <v>-0.53469453500435726</v>
      </c>
      <c r="L123" s="56"/>
    </row>
    <row r="124" spans="2:12" x14ac:dyDescent="0.25">
      <c r="B124" s="275"/>
      <c r="C124" s="283" t="s">
        <v>36</v>
      </c>
      <c r="D124" s="67" t="s">
        <v>45</v>
      </c>
      <c r="E124" s="69">
        <v>0.66625956780707296</v>
      </c>
      <c r="F124" s="69">
        <v>0.73582128234327682</v>
      </c>
      <c r="G124" s="69">
        <v>0.76739180083364034</v>
      </c>
      <c r="H124" s="69">
        <v>0.75971811263049638</v>
      </c>
      <c r="I124" s="69">
        <v>0.72226817205138483</v>
      </c>
      <c r="J124" s="69">
        <f t="shared" si="18"/>
        <v>-4.929452116054267E-2</v>
      </c>
      <c r="K124" s="75">
        <f t="shared" ref="K124:K125" si="29">(I124-H124)*100</f>
        <v>-3.7449940579111551</v>
      </c>
      <c r="L124" s="69"/>
    </row>
    <row r="125" spans="2:12" x14ac:dyDescent="0.25">
      <c r="B125" s="275"/>
      <c r="C125" s="284"/>
      <c r="D125" s="15" t="s">
        <v>46</v>
      </c>
      <c r="E125" s="18">
        <v>0.75866325066858042</v>
      </c>
      <c r="F125" s="18">
        <v>0.79523498192645192</v>
      </c>
      <c r="G125" s="18">
        <v>0.80511965007591357</v>
      </c>
      <c r="H125" s="18">
        <v>0.79747373574815117</v>
      </c>
      <c r="I125" s="18">
        <v>0.7622046783121571</v>
      </c>
      <c r="J125" s="18">
        <f t="shared" si="18"/>
        <v>-4.4225979935133997E-2</v>
      </c>
      <c r="K125" s="44">
        <f t="shared" si="29"/>
        <v>-3.5269057435994067</v>
      </c>
      <c r="L125" s="18"/>
    </row>
    <row r="126" spans="2:12" x14ac:dyDescent="0.25">
      <c r="B126" s="275"/>
      <c r="C126" s="284"/>
      <c r="D126" s="19" t="s">
        <v>47</v>
      </c>
      <c r="E126" s="63">
        <v>0.60684885109631315</v>
      </c>
      <c r="F126" s="63">
        <v>0.68761357632253173</v>
      </c>
      <c r="G126" s="63">
        <v>0.71724624369257761</v>
      </c>
      <c r="H126" s="63">
        <v>0.72628103050527704</v>
      </c>
      <c r="I126" s="63">
        <v>0.71218114434960766</v>
      </c>
      <c r="J126" s="63">
        <f t="shared" si="18"/>
        <v>-1.941381581432744E-2</v>
      </c>
      <c r="K126" s="46">
        <f>(I126-H126)*100</f>
        <v>-1.4099886155669372</v>
      </c>
      <c r="L126" s="63"/>
    </row>
    <row r="127" spans="2:12" x14ac:dyDescent="0.25">
      <c r="B127" s="275"/>
      <c r="C127" s="284"/>
      <c r="D127" s="19" t="s">
        <v>48</v>
      </c>
      <c r="E127" s="63">
        <v>0.51377160668744681</v>
      </c>
      <c r="F127" s="63">
        <v>0.51944363491853229</v>
      </c>
      <c r="G127" s="63">
        <v>0.55958816772575426</v>
      </c>
      <c r="H127" s="63">
        <v>0.57376280479007358</v>
      </c>
      <c r="I127" s="63">
        <v>0.54667465860523301</v>
      </c>
      <c r="J127" s="63">
        <f t="shared" si="18"/>
        <v>-4.7211401573428069E-2</v>
      </c>
      <c r="K127" s="46">
        <f t="shared" ref="K127:K134" si="30">(I127-H127)*100</f>
        <v>-2.7088146184840567</v>
      </c>
      <c r="L127" s="63"/>
    </row>
    <row r="128" spans="2:12" x14ac:dyDescent="0.25">
      <c r="B128" s="275"/>
      <c r="C128" s="284"/>
      <c r="D128" s="19" t="s">
        <v>49</v>
      </c>
      <c r="E128" s="63">
        <v>0.5465328844515398</v>
      </c>
      <c r="F128" s="63">
        <v>0.6423612292098908</v>
      </c>
      <c r="G128" s="63">
        <v>0.84663971865417198</v>
      </c>
      <c r="H128" s="63">
        <v>0.662226954645041</v>
      </c>
      <c r="I128" s="63">
        <v>0.65812239437368825</v>
      </c>
      <c r="J128" s="63">
        <f t="shared" si="18"/>
        <v>-6.1981171901298593E-3</v>
      </c>
      <c r="K128" s="46">
        <f t="shared" si="30"/>
        <v>-0.41045602713527529</v>
      </c>
      <c r="L128" s="63"/>
    </row>
    <row r="129" spans="2:12" x14ac:dyDescent="0.25">
      <c r="B129" s="275"/>
      <c r="C129" s="284"/>
      <c r="D129" s="19" t="s">
        <v>50</v>
      </c>
      <c r="E129" s="63">
        <v>0.60935386615172649</v>
      </c>
      <c r="F129" s="63">
        <v>0.71530517380659808</v>
      </c>
      <c r="G129" s="63">
        <v>0.76828447568834213</v>
      </c>
      <c r="H129" s="63">
        <v>0.76914114545437362</v>
      </c>
      <c r="I129" s="63">
        <v>0.69038439713207655</v>
      </c>
      <c r="J129" s="63">
        <f t="shared" si="18"/>
        <v>-0.10239570303545675</v>
      </c>
      <c r="K129" s="46">
        <f t="shared" si="30"/>
        <v>-7.8756748322297065</v>
      </c>
      <c r="L129" s="63"/>
    </row>
    <row r="130" spans="2:12" x14ac:dyDescent="0.25">
      <c r="B130" s="275"/>
      <c r="C130" s="284"/>
      <c r="D130" s="19" t="s">
        <v>51</v>
      </c>
      <c r="E130" s="63">
        <v>0.58159782989149456</v>
      </c>
      <c r="F130" s="63">
        <v>0.63796636216170066</v>
      </c>
      <c r="G130" s="63">
        <v>0.6363350982567022</v>
      </c>
      <c r="H130" s="63">
        <v>0.62030754997336623</v>
      </c>
      <c r="I130" s="63">
        <v>0.55679254536537515</v>
      </c>
      <c r="J130" s="63">
        <f t="shared" si="18"/>
        <v>-0.10239276405827757</v>
      </c>
      <c r="K130" s="46">
        <f t="shared" si="30"/>
        <v>-6.3515004607991088</v>
      </c>
      <c r="L130" s="63"/>
    </row>
    <row r="131" spans="2:12" x14ac:dyDescent="0.25">
      <c r="B131" s="275"/>
      <c r="C131" s="284"/>
      <c r="D131" s="19" t="s">
        <v>52</v>
      </c>
      <c r="E131" s="63">
        <v>0.78821510297482833</v>
      </c>
      <c r="F131" s="63">
        <v>0.79081355371510265</v>
      </c>
      <c r="G131" s="63">
        <v>0.82721106012071322</v>
      </c>
      <c r="H131" s="63">
        <v>0.83038716807621615</v>
      </c>
      <c r="I131" s="63">
        <v>0.73693583820631281</v>
      </c>
      <c r="J131" s="63">
        <f t="shared" si="18"/>
        <v>-0.11253946768759082</v>
      </c>
      <c r="K131" s="46">
        <f t="shared" si="30"/>
        <v>-9.3451329869903343</v>
      </c>
      <c r="L131" s="63"/>
    </row>
    <row r="132" spans="2:12" x14ac:dyDescent="0.25">
      <c r="B132" s="275"/>
      <c r="C132" s="284"/>
      <c r="D132" s="19" t="s">
        <v>53</v>
      </c>
      <c r="E132" s="63">
        <v>0.54580441057363549</v>
      </c>
      <c r="F132" s="63">
        <v>0.56550617566639283</v>
      </c>
      <c r="G132" s="63">
        <v>0.58597576564084597</v>
      </c>
      <c r="H132" s="63">
        <v>0.61904040688664097</v>
      </c>
      <c r="I132" s="63">
        <v>0.57580690456131334</v>
      </c>
      <c r="J132" s="63">
        <f t="shared" si="18"/>
        <v>-6.9839548185171352E-2</v>
      </c>
      <c r="K132" s="46">
        <f t="shared" si="30"/>
        <v>-4.3233502325327633</v>
      </c>
      <c r="L132" s="63"/>
    </row>
    <row r="133" spans="2:12" x14ac:dyDescent="0.25">
      <c r="B133" s="275"/>
      <c r="C133" s="284"/>
      <c r="D133" s="19" t="s">
        <v>54</v>
      </c>
      <c r="E133" s="63">
        <v>0.71742325710048371</v>
      </c>
      <c r="F133" s="63">
        <v>0.80019905523483881</v>
      </c>
      <c r="G133" s="63">
        <v>0.85252214769521262</v>
      </c>
      <c r="H133" s="63">
        <v>0.83593225901069002</v>
      </c>
      <c r="I133" s="63">
        <v>0.84223272159198326</v>
      </c>
      <c r="J133" s="63">
        <f t="shared" si="18"/>
        <v>7.5370492206505713E-3</v>
      </c>
      <c r="K133" s="46">
        <f t="shared" si="30"/>
        <v>0.63004625812932424</v>
      </c>
      <c r="L133" s="22"/>
    </row>
    <row r="134" spans="2:12" x14ac:dyDescent="0.25">
      <c r="B134" s="275"/>
      <c r="C134" s="285"/>
      <c r="D134" s="23" t="s">
        <v>55</v>
      </c>
      <c r="E134" s="63">
        <v>0.48620287491195902</v>
      </c>
      <c r="F134" s="63">
        <v>0.7218877475794957</v>
      </c>
      <c r="G134" s="63">
        <v>0.67564297991917821</v>
      </c>
      <c r="H134" s="63">
        <v>0.64261398176291795</v>
      </c>
      <c r="I134" s="63">
        <v>0.50530837540295603</v>
      </c>
      <c r="J134" s="63">
        <f t="shared" si="18"/>
        <v>-0.21366731857169363</v>
      </c>
      <c r="K134" s="46">
        <f t="shared" si="30"/>
        <v>-13.730560635996191</v>
      </c>
      <c r="L134" s="47"/>
    </row>
    <row r="135" spans="2:12" x14ac:dyDescent="0.25">
      <c r="B135" s="275"/>
      <c r="C135" s="286" t="s">
        <v>39</v>
      </c>
      <c r="D135" s="67" t="s">
        <v>45</v>
      </c>
      <c r="E135" s="68">
        <v>122631.42857142857</v>
      </c>
      <c r="F135" s="68">
        <v>125112.42857142857</v>
      </c>
      <c r="G135" s="68">
        <v>127001.28571428571</v>
      </c>
      <c r="H135" s="68">
        <v>125164.85714285714</v>
      </c>
      <c r="I135" s="68">
        <v>128894.28571428571</v>
      </c>
      <c r="J135" s="69">
        <f t="shared" si="18"/>
        <v>2.9796131730266628E-2</v>
      </c>
      <c r="K135" s="68">
        <f t="shared" ref="K135:K136" si="31">I135-H135</f>
        <v>3729.4285714285652</v>
      </c>
      <c r="L135" s="69">
        <f>I135/$I$135</f>
        <v>1</v>
      </c>
    </row>
    <row r="136" spans="2:12" x14ac:dyDescent="0.25">
      <c r="B136" s="275"/>
      <c r="C136" s="281"/>
      <c r="D136" s="26" t="s">
        <v>46</v>
      </c>
      <c r="E136" s="27">
        <v>44006.428571428572</v>
      </c>
      <c r="F136" s="27">
        <v>45709.428571428572</v>
      </c>
      <c r="G136" s="27">
        <v>46334</v>
      </c>
      <c r="H136" s="27">
        <v>44549.285714285717</v>
      </c>
      <c r="I136" s="27">
        <v>47048.714285714283</v>
      </c>
      <c r="J136" s="36">
        <f t="shared" si="18"/>
        <v>5.6104795651685802E-2</v>
      </c>
      <c r="K136" s="27">
        <f t="shared" si="31"/>
        <v>2499.4285714285652</v>
      </c>
      <c r="L136" s="38">
        <f t="shared" ref="L136:L145" si="32">I136/$I$135</f>
        <v>0.36501784408042026</v>
      </c>
    </row>
    <row r="137" spans="2:12" x14ac:dyDescent="0.25">
      <c r="B137" s="275"/>
      <c r="C137" s="281"/>
      <c r="D137" s="4" t="s">
        <v>47</v>
      </c>
      <c r="E137" s="29">
        <v>37622.857142857145</v>
      </c>
      <c r="F137" s="29">
        <v>37383.714285714283</v>
      </c>
      <c r="G137" s="29">
        <v>37615.714285714283</v>
      </c>
      <c r="H137" s="29">
        <v>37371.857142857145</v>
      </c>
      <c r="I137" s="29">
        <v>37561.714285714283</v>
      </c>
      <c r="J137" s="76">
        <f>I137/H137-1</f>
        <v>5.0802169699888378E-3</v>
      </c>
      <c r="K137" s="29">
        <f>I137-H137</f>
        <v>189.85714285713766</v>
      </c>
      <c r="L137" s="77">
        <f t="shared" si="32"/>
        <v>0.29141489149469108</v>
      </c>
    </row>
    <row r="138" spans="2:12" x14ac:dyDescent="0.25">
      <c r="B138" s="275"/>
      <c r="C138" s="281"/>
      <c r="D138" s="4" t="s">
        <v>48</v>
      </c>
      <c r="E138" s="29">
        <v>832</v>
      </c>
      <c r="F138" s="29">
        <v>890.71428571428567</v>
      </c>
      <c r="G138" s="29">
        <v>890.71428571428567</v>
      </c>
      <c r="H138" s="29">
        <v>915.42857142857144</v>
      </c>
      <c r="I138" s="29">
        <v>905</v>
      </c>
      <c r="J138" s="76">
        <f t="shared" ref="J138:J145" si="33">I138/H138-1</f>
        <v>-1.1392009987515661E-2</v>
      </c>
      <c r="K138" s="29">
        <f t="shared" ref="K138:K145" si="34">I138-H138</f>
        <v>-10.428571428571445</v>
      </c>
      <c r="L138" s="77">
        <f t="shared" si="32"/>
        <v>7.0212577305876359E-3</v>
      </c>
    </row>
    <row r="139" spans="2:12" x14ac:dyDescent="0.25">
      <c r="B139" s="275"/>
      <c r="C139" s="281"/>
      <c r="D139" s="4" t="s">
        <v>49</v>
      </c>
      <c r="E139" s="29">
        <v>4562</v>
      </c>
      <c r="F139" s="29">
        <v>4439.4285714285716</v>
      </c>
      <c r="G139" s="29">
        <v>4379.7142857142853</v>
      </c>
      <c r="H139" s="29">
        <v>4616</v>
      </c>
      <c r="I139" s="29">
        <v>4611.7142857142853</v>
      </c>
      <c r="J139" s="76">
        <f t="shared" si="33"/>
        <v>-9.2844763555344212E-4</v>
      </c>
      <c r="K139" s="29">
        <f t="shared" si="34"/>
        <v>-4.2857142857146755</v>
      </c>
      <c r="L139" s="77">
        <f t="shared" si="32"/>
        <v>3.577904373462195E-2</v>
      </c>
    </row>
    <row r="140" spans="2:12" x14ac:dyDescent="0.25">
      <c r="B140" s="275"/>
      <c r="C140" s="281"/>
      <c r="D140" s="4" t="s">
        <v>50</v>
      </c>
      <c r="E140" s="29">
        <v>18349.571428571428</v>
      </c>
      <c r="F140" s="29">
        <v>19048.857142857141</v>
      </c>
      <c r="G140" s="29">
        <v>20033.714285714286</v>
      </c>
      <c r="H140" s="29">
        <v>19970.714285714286</v>
      </c>
      <c r="I140" s="29">
        <v>20909.142857142859</v>
      </c>
      <c r="J140" s="76">
        <f t="shared" si="33"/>
        <v>4.6990235702278449E-2</v>
      </c>
      <c r="K140" s="29">
        <f t="shared" si="34"/>
        <v>938.42857142857247</v>
      </c>
      <c r="L140" s="77">
        <f t="shared" si="32"/>
        <v>0.16221931593997296</v>
      </c>
    </row>
    <row r="141" spans="2:12" x14ac:dyDescent="0.25">
      <c r="B141" s="275"/>
      <c r="C141" s="281"/>
      <c r="D141" s="4" t="s">
        <v>51</v>
      </c>
      <c r="E141" s="29">
        <v>646.71428571428567</v>
      </c>
      <c r="F141" s="29">
        <v>663</v>
      </c>
      <c r="G141" s="29">
        <v>673</v>
      </c>
      <c r="H141" s="29">
        <v>673</v>
      </c>
      <c r="I141" s="29">
        <v>673.28571428571433</v>
      </c>
      <c r="J141" s="76">
        <f t="shared" si="33"/>
        <v>4.245383145828896E-4</v>
      </c>
      <c r="K141" s="29">
        <f t="shared" si="34"/>
        <v>0.28571428571433444</v>
      </c>
      <c r="L141" s="77">
        <f t="shared" si="32"/>
        <v>5.2235497528428619E-3</v>
      </c>
    </row>
    <row r="142" spans="2:12" x14ac:dyDescent="0.25">
      <c r="B142" s="275"/>
      <c r="C142" s="281"/>
      <c r="D142" s="4" t="s">
        <v>52</v>
      </c>
      <c r="E142" s="29">
        <v>4286.7142857142853</v>
      </c>
      <c r="F142" s="29">
        <v>4791</v>
      </c>
      <c r="G142" s="29">
        <v>4797</v>
      </c>
      <c r="H142" s="29">
        <v>4789.2857142857147</v>
      </c>
      <c r="I142" s="29">
        <v>4671.2857142857147</v>
      </c>
      <c r="J142" s="76">
        <f t="shared" si="33"/>
        <v>-2.4638329604772524E-2</v>
      </c>
      <c r="K142" s="29">
        <f t="shared" si="34"/>
        <v>-118</v>
      </c>
      <c r="L142" s="77">
        <f t="shared" si="32"/>
        <v>3.6241216500786919E-2</v>
      </c>
    </row>
    <row r="143" spans="2:12" x14ac:dyDescent="0.25">
      <c r="B143" s="275"/>
      <c r="C143" s="281"/>
      <c r="D143" s="4" t="s">
        <v>53</v>
      </c>
      <c r="E143" s="29">
        <v>2602.4285714285716</v>
      </c>
      <c r="F143" s="29">
        <v>2802</v>
      </c>
      <c r="G143" s="29">
        <v>2773</v>
      </c>
      <c r="H143" s="29">
        <v>2678.4285714285716</v>
      </c>
      <c r="I143" s="29">
        <v>2973.4285714285716</v>
      </c>
      <c r="J143" s="76">
        <f t="shared" si="33"/>
        <v>0.11013920742439587</v>
      </c>
      <c r="K143" s="29">
        <f t="shared" si="34"/>
        <v>295</v>
      </c>
      <c r="L143" s="77">
        <f t="shared" si="32"/>
        <v>2.3068738501097245E-2</v>
      </c>
    </row>
    <row r="144" spans="2:12" x14ac:dyDescent="0.25">
      <c r="B144" s="275"/>
      <c r="C144" s="281"/>
      <c r="D144" s="4" t="s">
        <v>54</v>
      </c>
      <c r="E144" s="29">
        <v>6412</v>
      </c>
      <c r="F144" s="29">
        <v>6313</v>
      </c>
      <c r="G144" s="29">
        <v>6415</v>
      </c>
      <c r="H144" s="29">
        <v>6497</v>
      </c>
      <c r="I144" s="29">
        <v>6437.8571428571431</v>
      </c>
      <c r="J144" s="40">
        <f t="shared" si="33"/>
        <v>-9.1031025308383473E-3</v>
      </c>
      <c r="K144" s="29">
        <f t="shared" si="34"/>
        <v>-59.142857142856883</v>
      </c>
      <c r="L144" s="42">
        <f t="shared" si="32"/>
        <v>4.9946800257132093E-2</v>
      </c>
    </row>
    <row r="145" spans="2:12" x14ac:dyDescent="0.25">
      <c r="B145" s="276"/>
      <c r="C145" s="282"/>
      <c r="D145" s="32" t="s">
        <v>55</v>
      </c>
      <c r="E145" s="73">
        <v>3310.7142857142858</v>
      </c>
      <c r="F145" s="73">
        <v>3071.2857142857142</v>
      </c>
      <c r="G145" s="73">
        <v>3089.4285714285716</v>
      </c>
      <c r="H145" s="73">
        <v>3103.8571428571427</v>
      </c>
      <c r="I145" s="73">
        <v>3102.1428571428573</v>
      </c>
      <c r="J145" s="65">
        <f t="shared" si="33"/>
        <v>-5.5230818796880854E-4</v>
      </c>
      <c r="K145" s="73">
        <f t="shared" si="34"/>
        <v>-1.7142857142853245</v>
      </c>
      <c r="L145" s="56">
        <f t="shared" si="32"/>
        <v>2.4067342007846965E-2</v>
      </c>
    </row>
    <row r="146" spans="2:12" ht="6" customHeight="1" x14ac:dyDescent="0.25">
      <c r="B146" s="289"/>
      <c r="C146" s="289"/>
      <c r="D146" s="289"/>
      <c r="E146" s="289"/>
      <c r="F146" s="289"/>
      <c r="G146" s="289"/>
      <c r="H146" s="289"/>
      <c r="I146" s="289"/>
      <c r="J146" s="289"/>
      <c r="K146" s="289"/>
      <c r="L146" s="48"/>
    </row>
    <row r="147" spans="2:12" x14ac:dyDescent="0.25">
      <c r="B147" s="291" t="s">
        <v>57</v>
      </c>
      <c r="C147" s="291"/>
      <c r="D147" s="291"/>
      <c r="E147" s="291"/>
      <c r="F147" s="291"/>
      <c r="G147" s="291"/>
      <c r="H147" s="291"/>
      <c r="I147" s="291"/>
      <c r="J147" s="291"/>
      <c r="K147" s="291"/>
    </row>
    <row r="148" spans="2:12" x14ac:dyDescent="0.25">
      <c r="B148" s="64"/>
    </row>
    <row r="150" spans="2:12" ht="21.75" thickBot="1" x14ac:dyDescent="0.3">
      <c r="B150" s="273" t="s">
        <v>58</v>
      </c>
      <c r="C150" s="273"/>
      <c r="D150" s="273"/>
      <c r="E150" s="273"/>
      <c r="F150" s="273"/>
      <c r="G150" s="273"/>
      <c r="H150" s="273"/>
      <c r="I150" s="273"/>
      <c r="J150" s="273"/>
      <c r="K150" s="273"/>
      <c r="L150" s="12"/>
    </row>
    <row r="151" spans="2:12" ht="15.75" thickBot="1" x14ac:dyDescent="0.3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2:12" x14ac:dyDescent="0.25">
      <c r="B152" s="4"/>
      <c r="C152" s="4"/>
      <c r="D152" s="4"/>
      <c r="E152" s="14">
        <v>2021</v>
      </c>
      <c r="F152" s="14">
        <v>2022</v>
      </c>
      <c r="G152" s="14">
        <v>2023</v>
      </c>
      <c r="H152" s="14">
        <v>2024</v>
      </c>
      <c r="I152" s="14">
        <v>2025</v>
      </c>
      <c r="J152" s="14" t="str">
        <f>CONCATENATE("var. ",RIGHT(I152,2),"/",RIGHT(H152,2))</f>
        <v>var. 25/24</v>
      </c>
      <c r="K152" s="14" t="str">
        <f>CONCATENATE("dif. ",RIGHT(I152,2),"/",RIGHT(H152,2))</f>
        <v>dif. 25/24</v>
      </c>
      <c r="L152" s="14" t="str">
        <f>CONCATENATE("cuota ",I152)</f>
        <v>cuota 2025</v>
      </c>
    </row>
    <row r="153" spans="2:12" x14ac:dyDescent="0.25">
      <c r="B153" s="274" t="s">
        <v>44</v>
      </c>
      <c r="C153" s="277" t="s">
        <v>8</v>
      </c>
      <c r="D153" s="67" t="s">
        <v>45</v>
      </c>
      <c r="E153" s="68">
        <v>2335438</v>
      </c>
      <c r="F153" s="68">
        <v>4760117</v>
      </c>
      <c r="G153" s="68">
        <v>5189113</v>
      </c>
      <c r="H153" s="68">
        <v>5483293</v>
      </c>
      <c r="I153" s="68">
        <v>5451268</v>
      </c>
      <c r="J153" s="69">
        <f>I153/H153-1</f>
        <v>-5.8404684921998795E-3</v>
      </c>
      <c r="K153" s="68">
        <f>I153-H153</f>
        <v>-32025</v>
      </c>
      <c r="L153" s="69">
        <f>I153/$I$153</f>
        <v>1</v>
      </c>
    </row>
    <row r="154" spans="2:12" x14ac:dyDescent="0.25">
      <c r="B154" s="275"/>
      <c r="C154" s="278"/>
      <c r="D154" s="15" t="s">
        <v>46</v>
      </c>
      <c r="E154" s="16">
        <v>881045</v>
      </c>
      <c r="F154" s="16">
        <v>1757098</v>
      </c>
      <c r="G154" s="16">
        <v>1888751</v>
      </c>
      <c r="H154" s="16">
        <v>1938929</v>
      </c>
      <c r="I154" s="16">
        <v>1858237</v>
      </c>
      <c r="J154" s="18">
        <f t="shared" ref="J154" si="35">I154/H154-1</f>
        <v>-4.1616789475014349E-2</v>
      </c>
      <c r="K154" s="16">
        <f t="shared" ref="K154" si="36">I154-H154</f>
        <v>-80692</v>
      </c>
      <c r="L154" s="18">
        <f t="shared" ref="L154:L163" si="37">I154/$I$153</f>
        <v>0.34088160772869724</v>
      </c>
    </row>
    <row r="155" spans="2:12" x14ac:dyDescent="0.25">
      <c r="B155" s="275"/>
      <c r="C155" s="278"/>
      <c r="D155" s="19" t="s">
        <v>47</v>
      </c>
      <c r="E155" s="20">
        <v>492258</v>
      </c>
      <c r="F155" s="20">
        <v>1245331</v>
      </c>
      <c r="G155" s="20">
        <v>1320376</v>
      </c>
      <c r="H155" s="20">
        <v>1387795</v>
      </c>
      <c r="I155" s="20">
        <v>1421549</v>
      </c>
      <c r="J155" s="63">
        <f>I155/H155-1</f>
        <v>2.4322036035581585E-2</v>
      </c>
      <c r="K155" s="20">
        <f>I155-H155</f>
        <v>33754</v>
      </c>
      <c r="L155" s="63">
        <f t="shared" si="37"/>
        <v>0.26077400707505116</v>
      </c>
    </row>
    <row r="156" spans="2:12" x14ac:dyDescent="0.25">
      <c r="B156" s="275"/>
      <c r="C156" s="278"/>
      <c r="D156" s="19" t="s">
        <v>48</v>
      </c>
      <c r="E156" s="20">
        <v>20161</v>
      </c>
      <c r="F156" s="20">
        <v>37751</v>
      </c>
      <c r="G156" s="20">
        <v>51211</v>
      </c>
      <c r="H156" s="20">
        <v>45051</v>
      </c>
      <c r="I156" s="20">
        <v>44435</v>
      </c>
      <c r="J156" s="63">
        <f t="shared" ref="J156:J218" si="38">I156/H156-1</f>
        <v>-1.3673392377527738E-2</v>
      </c>
      <c r="K156" s="20">
        <f t="shared" ref="K156:K185" si="39">I156-H156</f>
        <v>-616</v>
      </c>
      <c r="L156" s="63">
        <f t="shared" si="37"/>
        <v>8.1513145198511619E-3</v>
      </c>
    </row>
    <row r="157" spans="2:12" x14ac:dyDescent="0.25">
      <c r="B157" s="275"/>
      <c r="C157" s="278"/>
      <c r="D157" s="19" t="s">
        <v>49</v>
      </c>
      <c r="E157" s="20">
        <v>70304</v>
      </c>
      <c r="F157" s="20">
        <v>161080</v>
      </c>
      <c r="G157" s="20">
        <v>173648</v>
      </c>
      <c r="H157" s="20">
        <v>231856</v>
      </c>
      <c r="I157" s="20">
        <v>188676</v>
      </c>
      <c r="J157" s="63">
        <f t="shared" si="38"/>
        <v>-0.1862362845904354</v>
      </c>
      <c r="K157" s="20">
        <f t="shared" si="39"/>
        <v>-43180</v>
      </c>
      <c r="L157" s="63">
        <f t="shared" si="37"/>
        <v>3.461139683464471E-2</v>
      </c>
    </row>
    <row r="158" spans="2:12" x14ac:dyDescent="0.25">
      <c r="B158" s="275"/>
      <c r="C158" s="278"/>
      <c r="D158" s="19" t="s">
        <v>50</v>
      </c>
      <c r="E158" s="20">
        <v>354204</v>
      </c>
      <c r="F158" s="20">
        <v>710789</v>
      </c>
      <c r="G158" s="20">
        <v>800263</v>
      </c>
      <c r="H158" s="20">
        <v>915958</v>
      </c>
      <c r="I158" s="20">
        <v>937396</v>
      </c>
      <c r="J158" s="63">
        <f t="shared" si="38"/>
        <v>2.3405003286176784E-2</v>
      </c>
      <c r="K158" s="20">
        <f t="shared" si="39"/>
        <v>21438</v>
      </c>
      <c r="L158" s="63">
        <f t="shared" si="37"/>
        <v>0.17195925791944186</v>
      </c>
    </row>
    <row r="159" spans="2:12" x14ac:dyDescent="0.25">
      <c r="B159" s="275"/>
      <c r="C159" s="278"/>
      <c r="D159" s="19" t="s">
        <v>51</v>
      </c>
      <c r="E159" s="20">
        <v>33444</v>
      </c>
      <c r="F159" s="20">
        <v>51485</v>
      </c>
      <c r="G159" s="20">
        <v>58157</v>
      </c>
      <c r="H159" s="20">
        <v>57388</v>
      </c>
      <c r="I159" s="20">
        <v>56585</v>
      </c>
      <c r="J159" s="63">
        <f t="shared" si="38"/>
        <v>-1.3992472293859359E-2</v>
      </c>
      <c r="K159" s="20">
        <f t="shared" si="39"/>
        <v>-803</v>
      </c>
      <c r="L159" s="63">
        <f t="shared" si="37"/>
        <v>1.0380153755052952E-2</v>
      </c>
    </row>
    <row r="160" spans="2:12" x14ac:dyDescent="0.25">
      <c r="B160" s="275"/>
      <c r="C160" s="278"/>
      <c r="D160" s="19" t="s">
        <v>52</v>
      </c>
      <c r="E160" s="20">
        <v>107459</v>
      </c>
      <c r="F160" s="20">
        <v>198873</v>
      </c>
      <c r="G160" s="20">
        <v>252588</v>
      </c>
      <c r="H160" s="20">
        <v>239146</v>
      </c>
      <c r="I160" s="20">
        <v>250668</v>
      </c>
      <c r="J160" s="63">
        <f t="shared" si="38"/>
        <v>4.8179773025682993E-2</v>
      </c>
      <c r="K160" s="20">
        <f t="shared" si="39"/>
        <v>11522</v>
      </c>
      <c r="L160" s="63">
        <f t="shared" si="37"/>
        <v>4.5983429910252074E-2</v>
      </c>
    </row>
    <row r="161" spans="2:12" x14ac:dyDescent="0.25">
      <c r="B161" s="275"/>
      <c r="C161" s="278"/>
      <c r="D161" s="19" t="s">
        <v>53</v>
      </c>
      <c r="E161" s="20">
        <v>164258</v>
      </c>
      <c r="F161" s="20">
        <v>229131</v>
      </c>
      <c r="G161" s="20">
        <v>240044</v>
      </c>
      <c r="H161" s="20">
        <v>250407</v>
      </c>
      <c r="I161" s="20">
        <v>282601</v>
      </c>
      <c r="J161" s="63">
        <f t="shared" si="38"/>
        <v>0.12856669342310711</v>
      </c>
      <c r="K161" s="20">
        <f t="shared" si="39"/>
        <v>32194</v>
      </c>
      <c r="L161" s="63">
        <f t="shared" si="37"/>
        <v>5.184133306232605E-2</v>
      </c>
    </row>
    <row r="162" spans="2:12" x14ac:dyDescent="0.25">
      <c r="B162" s="275"/>
      <c r="C162" s="278"/>
      <c r="D162" s="19" t="s">
        <v>54</v>
      </c>
      <c r="E162" s="20">
        <v>140346</v>
      </c>
      <c r="F162" s="20">
        <v>257142</v>
      </c>
      <c r="G162" s="20">
        <v>280769</v>
      </c>
      <c r="H162" s="20">
        <v>288350</v>
      </c>
      <c r="I162" s="20">
        <v>287664</v>
      </c>
      <c r="J162" s="22">
        <f t="shared" si="38"/>
        <v>-2.3790532339170722E-3</v>
      </c>
      <c r="K162" s="20">
        <f t="shared" si="39"/>
        <v>-686</v>
      </c>
      <c r="L162" s="22">
        <f t="shared" si="37"/>
        <v>5.277010779877269E-2</v>
      </c>
    </row>
    <row r="163" spans="2:12" x14ac:dyDescent="0.25">
      <c r="B163" s="275"/>
      <c r="C163" s="279"/>
      <c r="D163" s="23" t="s">
        <v>55</v>
      </c>
      <c r="E163" s="71">
        <v>4742835</v>
      </c>
      <c r="F163" s="71">
        <v>9631671</v>
      </c>
      <c r="G163" s="71">
        <v>10501532</v>
      </c>
      <c r="H163" s="71">
        <v>11094999</v>
      </c>
      <c r="I163" s="71">
        <v>11025993</v>
      </c>
      <c r="J163" s="47">
        <f t="shared" si="38"/>
        <v>-6.2195589201945456E-3</v>
      </c>
      <c r="K163" s="71">
        <f t="shared" si="39"/>
        <v>-69006</v>
      </c>
      <c r="L163" s="47">
        <f t="shared" si="37"/>
        <v>2.02264739139591</v>
      </c>
    </row>
    <row r="164" spans="2:12" x14ac:dyDescent="0.25">
      <c r="B164" s="275"/>
      <c r="C164" s="280" t="s">
        <v>18</v>
      </c>
      <c r="D164" s="67" t="s">
        <v>45</v>
      </c>
      <c r="E164" s="68">
        <v>2347681</v>
      </c>
      <c r="F164" s="68">
        <v>4835278</v>
      </c>
      <c r="G164" s="68">
        <v>5281667</v>
      </c>
      <c r="H164" s="68">
        <v>5579982</v>
      </c>
      <c r="I164" s="68">
        <v>5548336</v>
      </c>
      <c r="J164" s="69">
        <f>I164/H164-1</f>
        <v>-5.6713444595341E-3</v>
      </c>
      <c r="K164" s="68">
        <f>I164-H164</f>
        <v>-31646</v>
      </c>
      <c r="L164" s="69">
        <f t="shared" ref="L164:L174" si="40">I164/$I$164</f>
        <v>1</v>
      </c>
    </row>
    <row r="165" spans="2:12" x14ac:dyDescent="0.25">
      <c r="B165" s="275"/>
      <c r="C165" s="281"/>
      <c r="D165" s="26" t="s">
        <v>46</v>
      </c>
      <c r="E165" s="27">
        <v>886032</v>
      </c>
      <c r="F165" s="27">
        <v>1785420</v>
      </c>
      <c r="G165" s="27">
        <v>1925435</v>
      </c>
      <c r="H165" s="27">
        <v>1977808</v>
      </c>
      <c r="I165" s="27">
        <v>1894928</v>
      </c>
      <c r="J165" s="82">
        <f t="shared" ref="J165" si="41">I165/H165-1</f>
        <v>-4.1904977631802454E-2</v>
      </c>
      <c r="K165" s="27">
        <f t="shared" ref="K165" si="42">I165-H165</f>
        <v>-82880</v>
      </c>
      <c r="L165" s="38">
        <f t="shared" si="40"/>
        <v>0.34153086619123285</v>
      </c>
    </row>
    <row r="166" spans="2:12" x14ac:dyDescent="0.25">
      <c r="B166" s="275"/>
      <c r="C166" s="281"/>
      <c r="D166" s="4" t="s">
        <v>47</v>
      </c>
      <c r="E166" s="29">
        <v>494807</v>
      </c>
      <c r="F166" s="29">
        <v>1266939</v>
      </c>
      <c r="G166" s="29">
        <v>1346478</v>
      </c>
      <c r="H166" s="29">
        <v>1414199</v>
      </c>
      <c r="I166" s="29">
        <v>1450547</v>
      </c>
      <c r="J166" s="83">
        <f>I166/H166-1</f>
        <v>2.5702181941862579E-2</v>
      </c>
      <c r="K166" s="29">
        <f>I166-H166</f>
        <v>36348</v>
      </c>
      <c r="L166" s="77">
        <f t="shared" si="40"/>
        <v>0.26143820417508962</v>
      </c>
    </row>
    <row r="167" spans="2:12" x14ac:dyDescent="0.25">
      <c r="B167" s="275"/>
      <c r="C167" s="281"/>
      <c r="D167" s="4" t="s">
        <v>48</v>
      </c>
      <c r="E167" s="29">
        <v>20284</v>
      </c>
      <c r="F167" s="29">
        <v>38233</v>
      </c>
      <c r="G167" s="29">
        <v>51611</v>
      </c>
      <c r="H167" s="29">
        <v>45550</v>
      </c>
      <c r="I167" s="29">
        <v>45028</v>
      </c>
      <c r="J167" s="83">
        <f t="shared" ref="J167:J174" si="43">I167/H167-1</f>
        <v>-1.1459934138309591E-2</v>
      </c>
      <c r="K167" s="29">
        <f t="shared" ref="K167:K174" si="44">I167-H167</f>
        <v>-522</v>
      </c>
      <c r="L167" s="77">
        <f t="shared" si="40"/>
        <v>8.1155863667953781E-3</v>
      </c>
    </row>
    <row r="168" spans="2:12" x14ac:dyDescent="0.25">
      <c r="B168" s="275"/>
      <c r="C168" s="281"/>
      <c r="D168" s="4" t="s">
        <v>49</v>
      </c>
      <c r="E168" s="29">
        <v>71245</v>
      </c>
      <c r="F168" s="29">
        <v>164270</v>
      </c>
      <c r="G168" s="29">
        <v>177179</v>
      </c>
      <c r="H168" s="29">
        <v>234780</v>
      </c>
      <c r="I168" s="29">
        <v>191694</v>
      </c>
      <c r="J168" s="83">
        <f t="shared" si="43"/>
        <v>-0.18351648351648353</v>
      </c>
      <c r="K168" s="29">
        <f t="shared" si="44"/>
        <v>-43086</v>
      </c>
      <c r="L168" s="77">
        <f t="shared" si="40"/>
        <v>3.4549818179720908E-2</v>
      </c>
    </row>
    <row r="169" spans="2:12" x14ac:dyDescent="0.25">
      <c r="B169" s="275"/>
      <c r="C169" s="281"/>
      <c r="D169" s="4" t="s">
        <v>50</v>
      </c>
      <c r="E169" s="29">
        <v>355287</v>
      </c>
      <c r="F169" s="29">
        <v>721139</v>
      </c>
      <c r="G169" s="29">
        <v>813714</v>
      </c>
      <c r="H169" s="29">
        <v>930653</v>
      </c>
      <c r="I169" s="29">
        <v>952676</v>
      </c>
      <c r="J169" s="83">
        <f t="shared" si="43"/>
        <v>2.3664029450289226E-2</v>
      </c>
      <c r="K169" s="29">
        <f t="shared" si="44"/>
        <v>22023</v>
      </c>
      <c r="L169" s="77">
        <f t="shared" si="40"/>
        <v>0.17170481383968095</v>
      </c>
    </row>
    <row r="170" spans="2:12" x14ac:dyDescent="0.25">
      <c r="B170" s="275"/>
      <c r="C170" s="281"/>
      <c r="D170" s="4" t="s">
        <v>51</v>
      </c>
      <c r="E170" s="29">
        <v>33497</v>
      </c>
      <c r="F170" s="29">
        <v>51855</v>
      </c>
      <c r="G170" s="29">
        <v>58492</v>
      </c>
      <c r="H170" s="29">
        <v>57716</v>
      </c>
      <c r="I170" s="29">
        <v>56950</v>
      </c>
      <c r="J170" s="83">
        <f t="shared" si="43"/>
        <v>-1.3271883013375785E-2</v>
      </c>
      <c r="K170" s="29">
        <f t="shared" si="44"/>
        <v>-766</v>
      </c>
      <c r="L170" s="77">
        <f t="shared" si="40"/>
        <v>1.0264338713444896E-2</v>
      </c>
    </row>
    <row r="171" spans="2:12" x14ac:dyDescent="0.25">
      <c r="B171" s="275"/>
      <c r="C171" s="281"/>
      <c r="D171" s="4" t="s">
        <v>52</v>
      </c>
      <c r="E171" s="29">
        <v>108554</v>
      </c>
      <c r="F171" s="29">
        <v>202302</v>
      </c>
      <c r="G171" s="29">
        <v>255835</v>
      </c>
      <c r="H171" s="29">
        <v>243005</v>
      </c>
      <c r="I171" s="29">
        <v>254126</v>
      </c>
      <c r="J171" s="83">
        <f t="shared" si="43"/>
        <v>4.5764490442583572E-2</v>
      </c>
      <c r="K171" s="29">
        <f t="shared" si="44"/>
        <v>11121</v>
      </c>
      <c r="L171" s="77">
        <f t="shared" si="40"/>
        <v>4.5802200876082486E-2</v>
      </c>
    </row>
    <row r="172" spans="2:12" x14ac:dyDescent="0.25">
      <c r="B172" s="275"/>
      <c r="C172" s="281"/>
      <c r="D172" s="4" t="s">
        <v>53</v>
      </c>
      <c r="E172" s="29">
        <v>164413</v>
      </c>
      <c r="F172" s="29">
        <v>230406</v>
      </c>
      <c r="G172" s="29">
        <v>241537</v>
      </c>
      <c r="H172" s="29">
        <v>252084</v>
      </c>
      <c r="I172" s="29">
        <v>284121</v>
      </c>
      <c r="J172" s="83">
        <f t="shared" si="43"/>
        <v>0.12708858951777979</v>
      </c>
      <c r="K172" s="29">
        <f t="shared" si="44"/>
        <v>32037</v>
      </c>
      <c r="L172" s="77">
        <f t="shared" si="40"/>
        <v>5.1208326244120757E-2</v>
      </c>
    </row>
    <row r="173" spans="2:12" x14ac:dyDescent="0.25">
      <c r="B173" s="275"/>
      <c r="C173" s="281"/>
      <c r="D173" s="4" t="s">
        <v>54</v>
      </c>
      <c r="E173" s="29">
        <v>141329</v>
      </c>
      <c r="F173" s="29">
        <v>261669</v>
      </c>
      <c r="G173" s="29">
        <v>285810</v>
      </c>
      <c r="H173" s="29">
        <v>293795</v>
      </c>
      <c r="I173" s="29">
        <v>293036</v>
      </c>
      <c r="J173" s="31">
        <f t="shared" si="43"/>
        <v>-2.5834340271277956E-3</v>
      </c>
      <c r="K173" s="29">
        <f t="shared" si="44"/>
        <v>-759</v>
      </c>
      <c r="L173" s="42">
        <f t="shared" si="40"/>
        <v>5.281511429733167E-2</v>
      </c>
    </row>
    <row r="174" spans="2:12" x14ac:dyDescent="0.25">
      <c r="B174" s="275"/>
      <c r="C174" s="282"/>
      <c r="D174" s="32" t="s">
        <v>55</v>
      </c>
      <c r="E174" s="73">
        <v>4767595</v>
      </c>
      <c r="F174" s="73">
        <v>9783601</v>
      </c>
      <c r="G174" s="73">
        <v>10688910</v>
      </c>
      <c r="H174" s="73">
        <v>11290356</v>
      </c>
      <c r="I174" s="73">
        <v>11221902</v>
      </c>
      <c r="J174" s="74">
        <f t="shared" si="43"/>
        <v>-6.063050624798727E-3</v>
      </c>
      <c r="K174" s="73">
        <f t="shared" si="44"/>
        <v>-68454</v>
      </c>
      <c r="L174" s="56">
        <f t="shared" si="40"/>
        <v>2.0225707311165007</v>
      </c>
    </row>
    <row r="175" spans="2:12" x14ac:dyDescent="0.25">
      <c r="B175" s="275"/>
      <c r="C175" s="277" t="s">
        <v>21</v>
      </c>
      <c r="D175" s="67" t="s">
        <v>45</v>
      </c>
      <c r="E175" s="68">
        <v>13903380</v>
      </c>
      <c r="F175" s="68">
        <v>31413157</v>
      </c>
      <c r="G175" s="68">
        <v>34492002</v>
      </c>
      <c r="H175" s="68">
        <v>36085760</v>
      </c>
      <c r="I175" s="68">
        <v>34978337</v>
      </c>
      <c r="J175" s="69">
        <f t="shared" si="38"/>
        <v>-3.0688642833073265E-2</v>
      </c>
      <c r="K175" s="68">
        <f t="shared" si="39"/>
        <v>-1107423</v>
      </c>
      <c r="L175" s="69">
        <f>I175/$I$175</f>
        <v>1</v>
      </c>
    </row>
    <row r="176" spans="2:12" x14ac:dyDescent="0.25">
      <c r="B176" s="275"/>
      <c r="C176" s="278"/>
      <c r="D176" s="15" t="s">
        <v>46</v>
      </c>
      <c r="E176" s="16">
        <v>5763674</v>
      </c>
      <c r="F176" s="16">
        <v>12632443</v>
      </c>
      <c r="G176" s="16">
        <v>13593290</v>
      </c>
      <c r="H176" s="16">
        <v>13840017</v>
      </c>
      <c r="I176" s="16">
        <v>13113733</v>
      </c>
      <c r="J176" s="18">
        <f t="shared" si="38"/>
        <v>-5.2477103171188255E-2</v>
      </c>
      <c r="K176" s="16">
        <f t="shared" si="39"/>
        <v>-726284</v>
      </c>
      <c r="L176" s="18">
        <f t="shared" ref="L176:L185" si="45">I176/$I$175</f>
        <v>0.37491013366358727</v>
      </c>
    </row>
    <row r="177" spans="2:12" x14ac:dyDescent="0.25">
      <c r="B177" s="275"/>
      <c r="C177" s="278"/>
      <c r="D177" s="19" t="s">
        <v>47</v>
      </c>
      <c r="E177" s="20">
        <v>3367162</v>
      </c>
      <c r="F177" s="20">
        <v>8870774</v>
      </c>
      <c r="G177" s="20">
        <v>9740327</v>
      </c>
      <c r="H177" s="20">
        <v>10013119</v>
      </c>
      <c r="I177" s="20">
        <v>9994134</v>
      </c>
      <c r="J177" s="63">
        <f t="shared" si="38"/>
        <v>-1.8960126210424422E-3</v>
      </c>
      <c r="K177" s="20">
        <f t="shared" si="39"/>
        <v>-18985</v>
      </c>
      <c r="L177" s="63">
        <f t="shared" si="45"/>
        <v>0.28572353225369174</v>
      </c>
    </row>
    <row r="178" spans="2:12" x14ac:dyDescent="0.25">
      <c r="B178" s="275"/>
      <c r="C178" s="278"/>
      <c r="D178" s="19" t="s">
        <v>48</v>
      </c>
      <c r="E178" s="20">
        <v>98762</v>
      </c>
      <c r="F178" s="20">
        <v>168339</v>
      </c>
      <c r="G178" s="20">
        <v>182130</v>
      </c>
      <c r="H178" s="20">
        <v>192892</v>
      </c>
      <c r="I178" s="20">
        <v>197469</v>
      </c>
      <c r="J178" s="63">
        <f t="shared" si="38"/>
        <v>2.3728303921365379E-2</v>
      </c>
      <c r="K178" s="20">
        <f t="shared" si="39"/>
        <v>4577</v>
      </c>
      <c r="L178" s="63">
        <f t="shared" si="45"/>
        <v>5.6454656492102529E-3</v>
      </c>
    </row>
    <row r="179" spans="2:12" x14ac:dyDescent="0.25">
      <c r="B179" s="275"/>
      <c r="C179" s="278"/>
      <c r="D179" s="19" t="s">
        <v>49</v>
      </c>
      <c r="E179" s="20">
        <v>419370</v>
      </c>
      <c r="F179" s="20">
        <v>1014697</v>
      </c>
      <c r="G179" s="20">
        <v>988170</v>
      </c>
      <c r="H179" s="20">
        <v>1361415</v>
      </c>
      <c r="I179" s="20">
        <v>1103359</v>
      </c>
      <c r="J179" s="63">
        <f t="shared" si="38"/>
        <v>-0.1895498433615026</v>
      </c>
      <c r="K179" s="20">
        <f t="shared" si="39"/>
        <v>-258056</v>
      </c>
      <c r="L179" s="63">
        <f t="shared" si="45"/>
        <v>3.1544066831993754E-2</v>
      </c>
    </row>
    <row r="180" spans="2:12" x14ac:dyDescent="0.25">
      <c r="B180" s="275"/>
      <c r="C180" s="278"/>
      <c r="D180" s="19" t="s">
        <v>50</v>
      </c>
      <c r="E180" s="20">
        <v>1967362</v>
      </c>
      <c r="F180" s="20">
        <v>4353970</v>
      </c>
      <c r="G180" s="20">
        <v>5136286</v>
      </c>
      <c r="H180" s="20">
        <v>5762502</v>
      </c>
      <c r="I180" s="20">
        <v>5666416</v>
      </c>
      <c r="J180" s="63">
        <f t="shared" si="38"/>
        <v>-1.6674354299573313E-2</v>
      </c>
      <c r="K180" s="20">
        <f t="shared" si="39"/>
        <v>-96086</v>
      </c>
      <c r="L180" s="63">
        <f t="shared" si="45"/>
        <v>0.16199786742291378</v>
      </c>
    </row>
    <row r="181" spans="2:12" x14ac:dyDescent="0.25">
      <c r="B181" s="275"/>
      <c r="C181" s="278"/>
      <c r="D181" s="19" t="s">
        <v>51</v>
      </c>
      <c r="E181" s="20">
        <v>83402</v>
      </c>
      <c r="F181" s="20">
        <v>137757</v>
      </c>
      <c r="G181" s="20">
        <v>148334</v>
      </c>
      <c r="H181" s="20">
        <v>152300</v>
      </c>
      <c r="I181" s="20">
        <v>152519</v>
      </c>
      <c r="J181" s="63">
        <f t="shared" si="38"/>
        <v>1.4379514116875658E-3</v>
      </c>
      <c r="K181" s="20">
        <f t="shared" si="39"/>
        <v>219</v>
      </c>
      <c r="L181" s="63">
        <f t="shared" si="45"/>
        <v>4.3603845431530947E-3</v>
      </c>
    </row>
    <row r="182" spans="2:12" x14ac:dyDescent="0.25">
      <c r="B182" s="275"/>
      <c r="C182" s="278"/>
      <c r="D182" s="19" t="s">
        <v>52</v>
      </c>
      <c r="E182" s="20">
        <v>749212</v>
      </c>
      <c r="F182" s="20">
        <v>1316064</v>
      </c>
      <c r="G182" s="20">
        <v>1447168</v>
      </c>
      <c r="H182" s="20">
        <v>1453294</v>
      </c>
      <c r="I182" s="20">
        <v>1411233</v>
      </c>
      <c r="J182" s="63">
        <f t="shared" si="38"/>
        <v>-2.8941838334156755E-2</v>
      </c>
      <c r="K182" s="20">
        <f t="shared" si="39"/>
        <v>-42061</v>
      </c>
      <c r="L182" s="63">
        <f t="shared" si="45"/>
        <v>4.0345914672844513E-2</v>
      </c>
    </row>
    <row r="183" spans="2:12" x14ac:dyDescent="0.25">
      <c r="B183" s="275"/>
      <c r="C183" s="278"/>
      <c r="D183" s="19" t="s">
        <v>53</v>
      </c>
      <c r="E183" s="20">
        <v>359169</v>
      </c>
      <c r="F183" s="20">
        <v>543499</v>
      </c>
      <c r="G183" s="20">
        <v>577841</v>
      </c>
      <c r="H183" s="20">
        <v>583363</v>
      </c>
      <c r="I183" s="20">
        <v>615470</v>
      </c>
      <c r="J183" s="63">
        <f t="shared" si="38"/>
        <v>5.5037772364719739E-2</v>
      </c>
      <c r="K183" s="20">
        <f t="shared" si="39"/>
        <v>32107</v>
      </c>
      <c r="L183" s="63">
        <f t="shared" si="45"/>
        <v>1.7595747905339239E-2</v>
      </c>
    </row>
    <row r="184" spans="2:12" x14ac:dyDescent="0.25">
      <c r="B184" s="275"/>
      <c r="C184" s="278"/>
      <c r="D184" s="19" t="s">
        <v>54</v>
      </c>
      <c r="E184" s="20">
        <v>774989</v>
      </c>
      <c r="F184" s="20">
        <v>1753173</v>
      </c>
      <c r="G184" s="20">
        <v>1897228</v>
      </c>
      <c r="H184" s="20">
        <v>1991159</v>
      </c>
      <c r="I184" s="20">
        <v>2013195</v>
      </c>
      <c r="J184" s="22">
        <f t="shared" si="38"/>
        <v>1.1066921325720402E-2</v>
      </c>
      <c r="K184" s="20">
        <f t="shared" si="39"/>
        <v>22036</v>
      </c>
      <c r="L184" s="22">
        <f t="shared" si="45"/>
        <v>5.7555480696523678E-2</v>
      </c>
    </row>
    <row r="185" spans="2:12" x14ac:dyDescent="0.25">
      <c r="B185" s="275"/>
      <c r="C185" s="279"/>
      <c r="D185" s="23" t="s">
        <v>55</v>
      </c>
      <c r="E185" s="71">
        <v>28127038</v>
      </c>
      <c r="F185" s="71">
        <v>63448755</v>
      </c>
      <c r="G185" s="71">
        <v>69765232</v>
      </c>
      <c r="H185" s="71">
        <v>72907219</v>
      </c>
      <c r="I185" s="71">
        <v>70667483</v>
      </c>
      <c r="J185" s="47">
        <f t="shared" si="38"/>
        <v>-3.0720359804150554E-2</v>
      </c>
      <c r="K185" s="71">
        <f t="shared" si="39"/>
        <v>-2239736</v>
      </c>
      <c r="L185" s="47">
        <f t="shared" si="45"/>
        <v>2.0203214063607429</v>
      </c>
    </row>
    <row r="186" spans="2:12" x14ac:dyDescent="0.25">
      <c r="B186" s="275"/>
      <c r="C186" s="280" t="s">
        <v>22</v>
      </c>
      <c r="D186" s="67" t="s">
        <v>45</v>
      </c>
      <c r="E186" s="75">
        <f t="shared" ref="E186:I187" si="46">E175/E153</f>
        <v>5.9532216226677823</v>
      </c>
      <c r="F186" s="75">
        <f t="shared" si="46"/>
        <v>6.5992405228695006</v>
      </c>
      <c r="G186" s="75">
        <f t="shared" si="46"/>
        <v>6.6469938118518526</v>
      </c>
      <c r="H186" s="75">
        <f t="shared" si="46"/>
        <v>6.5810380732891716</v>
      </c>
      <c r="I186" s="75">
        <f t="shared" si="46"/>
        <v>6.4165506080420185</v>
      </c>
      <c r="J186" s="69">
        <f t="shared" si="38"/>
        <v>-2.4994151897520189E-2</v>
      </c>
      <c r="K186" s="75">
        <f t="shared" ref="K186:K187" si="47">(I186-H186)</f>
        <v>-0.16448746524715308</v>
      </c>
      <c r="L186" s="69"/>
    </row>
    <row r="187" spans="2:12" x14ac:dyDescent="0.25">
      <c r="B187" s="275"/>
      <c r="C187" s="281"/>
      <c r="D187" s="26" t="s">
        <v>46</v>
      </c>
      <c r="E187" s="37">
        <f t="shared" si="46"/>
        <v>6.5418610854156141</v>
      </c>
      <c r="F187" s="37">
        <f t="shared" si="46"/>
        <v>7.1893787369856437</v>
      </c>
      <c r="G187" s="37">
        <f t="shared" si="46"/>
        <v>7.1969730260897284</v>
      </c>
      <c r="H187" s="37">
        <f t="shared" si="46"/>
        <v>7.1379699823974985</v>
      </c>
      <c r="I187" s="37">
        <f t="shared" si="46"/>
        <v>7.0570831384801833</v>
      </c>
      <c r="J187" s="82">
        <f t="shared" si="38"/>
        <v>-1.1331911470177869E-2</v>
      </c>
      <c r="K187" s="37">
        <f t="shared" si="47"/>
        <v>-8.0886843917315154E-2</v>
      </c>
      <c r="L187" s="38"/>
    </row>
    <row r="188" spans="2:12" x14ac:dyDescent="0.25">
      <c r="B188" s="275"/>
      <c r="C188" s="281"/>
      <c r="D188" s="4" t="s">
        <v>47</v>
      </c>
      <c r="E188" s="41">
        <f>E177/E155</f>
        <v>6.8402382490482632</v>
      </c>
      <c r="F188" s="41">
        <f>F177/F155</f>
        <v>7.1232258732818821</v>
      </c>
      <c r="G188" s="41">
        <f>G177/G155</f>
        <v>7.3769342975031353</v>
      </c>
      <c r="H188" s="41">
        <f>H177/H155</f>
        <v>7.2151283150609418</v>
      </c>
      <c r="I188" s="41">
        <f>I177/I155</f>
        <v>7.0304533997772856</v>
      </c>
      <c r="J188" s="83">
        <f t="shared" si="38"/>
        <v>-2.5595513651249124E-2</v>
      </c>
      <c r="K188" s="41">
        <f>(I188-H188)</f>
        <v>-0.1846749152836562</v>
      </c>
      <c r="L188" s="77"/>
    </row>
    <row r="189" spans="2:12" x14ac:dyDescent="0.25">
      <c r="B189" s="275"/>
      <c r="C189" s="281"/>
      <c r="D189" s="4" t="s">
        <v>48</v>
      </c>
      <c r="E189" s="41">
        <f t="shared" ref="E189:I196" si="48">E178/E156</f>
        <v>4.8986657407866669</v>
      </c>
      <c r="F189" s="41">
        <f t="shared" si="48"/>
        <v>4.4591931339567168</v>
      </c>
      <c r="G189" s="41">
        <f t="shared" si="48"/>
        <v>3.556462478764328</v>
      </c>
      <c r="H189" s="41">
        <f t="shared" si="48"/>
        <v>4.2816363676721938</v>
      </c>
      <c r="I189" s="41">
        <f t="shared" si="48"/>
        <v>4.4439968493304827</v>
      </c>
      <c r="J189" s="83">
        <f t="shared" si="38"/>
        <v>3.7920193990355067E-2</v>
      </c>
      <c r="K189" s="41">
        <f t="shared" ref="K189:K196" si="49">(I189-H189)</f>
        <v>0.16236048165828887</v>
      </c>
      <c r="L189" s="77"/>
    </row>
    <row r="190" spans="2:12" x14ac:dyDescent="0.25">
      <c r="B190" s="275"/>
      <c r="C190" s="281"/>
      <c r="D190" s="4" t="s">
        <v>49</v>
      </c>
      <c r="E190" s="41">
        <f t="shared" si="48"/>
        <v>5.9650944469731453</v>
      </c>
      <c r="F190" s="41">
        <f t="shared" si="48"/>
        <v>6.2993357337968714</v>
      </c>
      <c r="G190" s="41">
        <f t="shared" si="48"/>
        <v>5.690650050677232</v>
      </c>
      <c r="H190" s="41">
        <f t="shared" si="48"/>
        <v>5.8718126768338967</v>
      </c>
      <c r="I190" s="41">
        <f t="shared" si="48"/>
        <v>5.8479032839364837</v>
      </c>
      <c r="J190" s="83">
        <f t="shared" si="38"/>
        <v>-4.0718929934094872E-3</v>
      </c>
      <c r="K190" s="41">
        <f t="shared" si="49"/>
        <v>-2.3909392897413007E-2</v>
      </c>
      <c r="L190" s="77"/>
    </row>
    <row r="191" spans="2:12" x14ac:dyDescent="0.25">
      <c r="B191" s="275"/>
      <c r="C191" s="281"/>
      <c r="D191" s="4" t="s">
        <v>50</v>
      </c>
      <c r="E191" s="41">
        <f t="shared" si="48"/>
        <v>5.5543189800228117</v>
      </c>
      <c r="F191" s="41">
        <f t="shared" si="48"/>
        <v>6.1255449929585293</v>
      </c>
      <c r="G191" s="41">
        <f t="shared" si="48"/>
        <v>6.4182475011340019</v>
      </c>
      <c r="H191" s="41">
        <f t="shared" si="48"/>
        <v>6.291229510523408</v>
      </c>
      <c r="I191" s="41">
        <f t="shared" si="48"/>
        <v>6.0448476417650596</v>
      </c>
      <c r="J191" s="83">
        <f t="shared" si="38"/>
        <v>-3.9162753217987456E-2</v>
      </c>
      <c r="K191" s="41">
        <f t="shared" si="49"/>
        <v>-0.24638186875834833</v>
      </c>
      <c r="L191" s="77"/>
    </row>
    <row r="192" spans="2:12" x14ac:dyDescent="0.25">
      <c r="B192" s="275"/>
      <c r="C192" s="281"/>
      <c r="D192" s="4" t="s">
        <v>51</v>
      </c>
      <c r="E192" s="41">
        <f t="shared" si="48"/>
        <v>2.4937806482478173</v>
      </c>
      <c r="F192" s="41">
        <f t="shared" si="48"/>
        <v>2.6756725259784404</v>
      </c>
      <c r="G192" s="41">
        <f t="shared" si="48"/>
        <v>2.5505786061867015</v>
      </c>
      <c r="H192" s="41">
        <f t="shared" si="48"/>
        <v>2.6538649194953647</v>
      </c>
      <c r="I192" s="41">
        <f t="shared" si="48"/>
        <v>2.6953963064416366</v>
      </c>
      <c r="J192" s="83">
        <f t="shared" si="38"/>
        <v>1.5649397466005688E-2</v>
      </c>
      <c r="K192" s="41">
        <f t="shared" si="49"/>
        <v>4.1531386946271898E-2</v>
      </c>
      <c r="L192" s="77"/>
    </row>
    <row r="193" spans="2:12" x14ac:dyDescent="0.25">
      <c r="B193" s="275"/>
      <c r="C193" s="281"/>
      <c r="D193" s="4" t="s">
        <v>52</v>
      </c>
      <c r="E193" s="41">
        <f t="shared" si="48"/>
        <v>6.9720730697289195</v>
      </c>
      <c r="F193" s="41">
        <f t="shared" si="48"/>
        <v>6.6176102336667117</v>
      </c>
      <c r="G193" s="41">
        <f t="shared" si="48"/>
        <v>5.729361648217651</v>
      </c>
      <c r="H193" s="41">
        <f t="shared" si="48"/>
        <v>6.0770157142498729</v>
      </c>
      <c r="I193" s="41">
        <f t="shared" si="48"/>
        <v>5.6298889367609748</v>
      </c>
      <c r="J193" s="83">
        <f t="shared" si="38"/>
        <v>-7.3576702531875871E-2</v>
      </c>
      <c r="K193" s="41">
        <f t="shared" si="49"/>
        <v>-0.44712677748889806</v>
      </c>
      <c r="L193" s="77"/>
    </row>
    <row r="194" spans="2:12" x14ac:dyDescent="0.25">
      <c r="B194" s="275"/>
      <c r="C194" s="281"/>
      <c r="D194" s="4" t="s">
        <v>53</v>
      </c>
      <c r="E194" s="41">
        <f t="shared" si="48"/>
        <v>2.1866149593931499</v>
      </c>
      <c r="F194" s="41">
        <f t="shared" si="48"/>
        <v>2.3720011696365835</v>
      </c>
      <c r="G194" s="41">
        <f t="shared" si="48"/>
        <v>2.4072295079235473</v>
      </c>
      <c r="H194" s="41">
        <f t="shared" si="48"/>
        <v>2.3296593146357729</v>
      </c>
      <c r="I194" s="41">
        <f t="shared" si="48"/>
        <v>2.1778762283219097</v>
      </c>
      <c r="J194" s="83">
        <f t="shared" si="38"/>
        <v>-6.5152481893084646E-2</v>
      </c>
      <c r="K194" s="41">
        <f t="shared" si="49"/>
        <v>-0.15178308631386317</v>
      </c>
      <c r="L194" s="77"/>
    </row>
    <row r="195" spans="2:12" x14ac:dyDescent="0.25">
      <c r="B195" s="275"/>
      <c r="C195" s="281"/>
      <c r="D195" s="4" t="s">
        <v>54</v>
      </c>
      <c r="E195" s="41">
        <f t="shared" si="48"/>
        <v>5.5219885141008653</v>
      </c>
      <c r="F195" s="41">
        <f t="shared" si="48"/>
        <v>6.8179177263924213</v>
      </c>
      <c r="G195" s="41">
        <f t="shared" si="48"/>
        <v>6.757255964867916</v>
      </c>
      <c r="H195" s="41">
        <f t="shared" si="48"/>
        <v>6.9053546037801281</v>
      </c>
      <c r="I195" s="41">
        <f t="shared" si="48"/>
        <v>6.9984252461204735</v>
      </c>
      <c r="J195" s="31">
        <f t="shared" si="38"/>
        <v>1.3478039533175723E-2</v>
      </c>
      <c r="K195" s="41">
        <f t="shared" si="49"/>
        <v>9.3070642340345344E-2</v>
      </c>
      <c r="L195" s="42"/>
    </row>
    <row r="196" spans="2:12" x14ac:dyDescent="0.25">
      <c r="B196" s="275"/>
      <c r="C196" s="282"/>
      <c r="D196" s="32" t="s">
        <v>55</v>
      </c>
      <c r="E196" s="79">
        <f t="shared" si="48"/>
        <v>5.9304272655489809</v>
      </c>
      <c r="F196" s="79">
        <f t="shared" si="48"/>
        <v>6.5875126963950494</v>
      </c>
      <c r="G196" s="79">
        <f t="shared" si="48"/>
        <v>6.643338514799555</v>
      </c>
      <c r="H196" s="79">
        <f t="shared" si="48"/>
        <v>6.5711785102459226</v>
      </c>
      <c r="I196" s="79">
        <f t="shared" si="48"/>
        <v>6.4091717634865173</v>
      </c>
      <c r="J196" s="74">
        <f t="shared" si="38"/>
        <v>-2.4654138752554178E-2</v>
      </c>
      <c r="K196" s="79">
        <f t="shared" si="49"/>
        <v>-0.1620067467594053</v>
      </c>
      <c r="L196" s="56"/>
    </row>
    <row r="197" spans="2:12" x14ac:dyDescent="0.25">
      <c r="B197" s="275"/>
      <c r="C197" s="283" t="s">
        <v>36</v>
      </c>
      <c r="D197" s="67" t="s">
        <v>45</v>
      </c>
      <c r="E197" s="69">
        <v>0.46071549284573426</v>
      </c>
      <c r="F197" s="69">
        <v>0.6956420710121819</v>
      </c>
      <c r="G197" s="69">
        <v>0.75278316087982655</v>
      </c>
      <c r="H197" s="69">
        <v>0.77385542737868784</v>
      </c>
      <c r="I197" s="69">
        <v>0.76271640953782749</v>
      </c>
      <c r="J197" s="69">
        <f t="shared" si="38"/>
        <v>-1.4394184555365896E-2</v>
      </c>
      <c r="K197" s="75">
        <f>(I197-H197)*100</f>
        <v>-1.1139017840860355</v>
      </c>
      <c r="L197" s="69"/>
    </row>
    <row r="198" spans="2:12" x14ac:dyDescent="0.25">
      <c r="B198" s="275"/>
      <c r="C198" s="284"/>
      <c r="D198" s="15" t="s">
        <v>46</v>
      </c>
      <c r="E198" s="18">
        <v>0.53007392392769836</v>
      </c>
      <c r="F198" s="18">
        <v>0.78235558932652216</v>
      </c>
      <c r="G198" s="18">
        <v>0.81137456860272439</v>
      </c>
      <c r="H198" s="18">
        <v>0.81303171930090867</v>
      </c>
      <c r="I198" s="18">
        <v>0.79492109395832511</v>
      </c>
      <c r="J198" s="18">
        <f t="shared" si="38"/>
        <v>-2.2275422855772664E-2</v>
      </c>
      <c r="K198" s="44">
        <f t="shared" ref="K198" si="50">(I198-H198)*100</f>
        <v>-1.8110625342583564</v>
      </c>
      <c r="L198" s="18"/>
    </row>
    <row r="199" spans="2:12" x14ac:dyDescent="0.25">
      <c r="B199" s="275"/>
      <c r="C199" s="284"/>
      <c r="D199" s="19" t="s">
        <v>47</v>
      </c>
      <c r="E199" s="63">
        <v>0.38237984856351559</v>
      </c>
      <c r="F199" s="63">
        <v>0.63554446972310374</v>
      </c>
      <c r="G199" s="63">
        <v>0.7120968992437916</v>
      </c>
      <c r="H199" s="63">
        <v>0.72338395178807657</v>
      </c>
      <c r="I199" s="63">
        <v>0.73569515745498237</v>
      </c>
      <c r="J199" s="63">
        <f t="shared" si="38"/>
        <v>1.7018909026768725E-2</v>
      </c>
      <c r="K199" s="46">
        <f>(I199-H199)*100</f>
        <v>1.23112056669058</v>
      </c>
      <c r="L199" s="63"/>
    </row>
    <row r="200" spans="2:12" x14ac:dyDescent="0.25">
      <c r="B200" s="275"/>
      <c r="C200" s="284"/>
      <c r="D200" s="19" t="s">
        <v>48</v>
      </c>
      <c r="E200" s="63">
        <v>0.40408330264719122</v>
      </c>
      <c r="F200" s="63">
        <v>0.53778304538949095</v>
      </c>
      <c r="G200" s="63">
        <v>0.55483289211938058</v>
      </c>
      <c r="H200" s="63">
        <v>0.58551125843092255</v>
      </c>
      <c r="I200" s="63">
        <v>0.59322446331044176</v>
      </c>
      <c r="J200" s="63">
        <f t="shared" si="38"/>
        <v>1.3173452719234424E-2</v>
      </c>
      <c r="K200" s="46">
        <f t="shared" ref="K200:K207" si="51">(I200-H200)*100</f>
        <v>0.77132048795192087</v>
      </c>
      <c r="L200" s="63"/>
    </row>
    <row r="201" spans="2:12" x14ac:dyDescent="0.25">
      <c r="B201" s="275"/>
      <c r="C201" s="284"/>
      <c r="D201" s="19" t="s">
        <v>49</v>
      </c>
      <c r="E201" s="63">
        <v>0.28621210694206145</v>
      </c>
      <c r="F201" s="63">
        <v>0.60938004840462912</v>
      </c>
      <c r="G201" s="63">
        <v>0.61609450810074784</v>
      </c>
      <c r="H201" s="63">
        <v>0.84038066713662607</v>
      </c>
      <c r="I201" s="63">
        <v>0.65487464685073948</v>
      </c>
      <c r="J201" s="63">
        <f t="shared" si="38"/>
        <v>-0.22074046624364774</v>
      </c>
      <c r="K201" s="46">
        <f t="shared" si="51"/>
        <v>-18.55060202858866</v>
      </c>
      <c r="L201" s="63"/>
    </row>
    <row r="202" spans="2:12" x14ac:dyDescent="0.25">
      <c r="B202" s="275"/>
      <c r="C202" s="284"/>
      <c r="D202" s="19" t="s">
        <v>50</v>
      </c>
      <c r="E202" s="63">
        <v>0.48615455783025679</v>
      </c>
      <c r="F202" s="63">
        <v>0.64956278782215049</v>
      </c>
      <c r="G202" s="63">
        <v>0.73256253105658276</v>
      </c>
      <c r="H202" s="63">
        <v>0.78559211607973245</v>
      </c>
      <c r="I202" s="63">
        <v>0.77515282700025978</v>
      </c>
      <c r="J202" s="63">
        <f t="shared" si="38"/>
        <v>-1.3288434119689052E-2</v>
      </c>
      <c r="K202" s="46">
        <f t="shared" si="51"/>
        <v>-1.0439289079472669</v>
      </c>
      <c r="L202" s="63"/>
    </row>
    <row r="203" spans="2:12" x14ac:dyDescent="0.25">
      <c r="B203" s="275"/>
      <c r="C203" s="284"/>
      <c r="D203" s="19" t="s">
        <v>51</v>
      </c>
      <c r="E203" s="63">
        <v>0.42945341263098274</v>
      </c>
      <c r="F203" s="63">
        <v>0.57741590694750078</v>
      </c>
      <c r="G203" s="63">
        <v>0.61259601883208059</v>
      </c>
      <c r="H203" s="63">
        <v>0.6183064169082243</v>
      </c>
      <c r="I203" s="63">
        <v>0.62089193755215866</v>
      </c>
      <c r="J203" s="63">
        <f t="shared" si="38"/>
        <v>4.1816170319934898E-3</v>
      </c>
      <c r="K203" s="46">
        <f t="shared" si="51"/>
        <v>0.25855206439343581</v>
      </c>
      <c r="L203" s="63"/>
    </row>
    <row r="204" spans="2:12" x14ac:dyDescent="0.25">
      <c r="B204" s="275"/>
      <c r="C204" s="284"/>
      <c r="D204" s="19" t="s">
        <v>52</v>
      </c>
      <c r="E204" s="63">
        <v>0.70336128458075009</v>
      </c>
      <c r="F204" s="63">
        <v>0.8015089072176752</v>
      </c>
      <c r="G204" s="63">
        <v>0.82779844332469787</v>
      </c>
      <c r="H204" s="63">
        <v>0.82775664662909765</v>
      </c>
      <c r="I204" s="63">
        <v>0.81840355885878524</v>
      </c>
      <c r="J204" s="63">
        <f t="shared" si="38"/>
        <v>-1.1299320649856837E-2</v>
      </c>
      <c r="K204" s="46">
        <f t="shared" si="51"/>
        <v>-0.93530877703124071</v>
      </c>
      <c r="L204" s="63"/>
    </row>
    <row r="205" spans="2:12" x14ac:dyDescent="0.25">
      <c r="B205" s="275"/>
      <c r="C205" s="284"/>
      <c r="D205" s="19" t="s">
        <v>53</v>
      </c>
      <c r="E205" s="63">
        <v>0.43287194104141685</v>
      </c>
      <c r="F205" s="63">
        <v>0.55540181632567553</v>
      </c>
      <c r="G205" s="63">
        <v>0.57078552018499329</v>
      </c>
      <c r="H205" s="63">
        <v>0.58707862058971227</v>
      </c>
      <c r="I205" s="63">
        <v>0.63035262548776616</v>
      </c>
      <c r="J205" s="63">
        <f t="shared" si="38"/>
        <v>7.3710749089424876E-2</v>
      </c>
      <c r="K205" s="46">
        <f t="shared" si="51"/>
        <v>4.3274004898053882</v>
      </c>
      <c r="L205" s="63"/>
    </row>
    <row r="206" spans="2:12" x14ac:dyDescent="0.25">
      <c r="B206" s="275"/>
      <c r="C206" s="284"/>
      <c r="D206" s="19" t="s">
        <v>54</v>
      </c>
      <c r="E206" s="63">
        <v>0.48201408869433904</v>
      </c>
      <c r="F206" s="63">
        <v>0.74895069673736636</v>
      </c>
      <c r="G206" s="63">
        <v>0.81783519993171871</v>
      </c>
      <c r="H206" s="63">
        <v>0.84626026183947245</v>
      </c>
      <c r="I206" s="63">
        <v>0.84894608892196821</v>
      </c>
      <c r="J206" s="63">
        <f t="shared" si="38"/>
        <v>3.173760134568715E-3</v>
      </c>
      <c r="K206" s="46">
        <f t="shared" si="51"/>
        <v>0.2685827082495762</v>
      </c>
      <c r="L206" s="22"/>
    </row>
    <row r="207" spans="2:12" x14ac:dyDescent="0.25">
      <c r="B207" s="275"/>
      <c r="C207" s="285"/>
      <c r="D207" s="23" t="s">
        <v>55</v>
      </c>
      <c r="E207" s="63">
        <v>26.908641616257476</v>
      </c>
      <c r="F207" s="63">
        <v>54.155969692546812</v>
      </c>
      <c r="G207" s="63">
        <v>62.212065167958194</v>
      </c>
      <c r="H207" s="63">
        <v>64.343032666079495</v>
      </c>
      <c r="I207" s="63">
        <v>62.365896191988249</v>
      </c>
      <c r="J207" s="63">
        <f t="shared" si="38"/>
        <v>-3.0728058535132718E-2</v>
      </c>
      <c r="K207" s="46">
        <f t="shared" si="51"/>
        <v>-197.7136474091246</v>
      </c>
      <c r="L207" s="47"/>
    </row>
    <row r="208" spans="2:12" x14ac:dyDescent="0.25">
      <c r="B208" s="275"/>
      <c r="C208" s="286" t="s">
        <v>59</v>
      </c>
      <c r="D208" s="67" t="s">
        <v>45</v>
      </c>
      <c r="E208" s="68">
        <v>82456</v>
      </c>
      <c r="F208" s="68">
        <v>123696</v>
      </c>
      <c r="G208" s="68">
        <v>125536</v>
      </c>
      <c r="H208" s="68">
        <v>135046</v>
      </c>
      <c r="I208" s="68">
        <v>125647</v>
      </c>
      <c r="J208" s="69">
        <f t="shared" si="38"/>
        <v>-6.9598507175332891E-2</v>
      </c>
      <c r="K208" s="68">
        <f t="shared" ref="K208:K209" si="52">I208-H208</f>
        <v>-9399</v>
      </c>
      <c r="L208" s="69">
        <f t="shared" ref="L208:L218" si="53">I208/$I$208</f>
        <v>1</v>
      </c>
    </row>
    <row r="209" spans="2:12" x14ac:dyDescent="0.25">
      <c r="B209" s="275"/>
      <c r="C209" s="281"/>
      <c r="D209" s="26" t="s">
        <v>46</v>
      </c>
      <c r="E209" s="27">
        <v>29697</v>
      </c>
      <c r="F209" s="27">
        <v>44233</v>
      </c>
      <c r="G209" s="27">
        <v>45902</v>
      </c>
      <c r="H209" s="27">
        <v>49468</v>
      </c>
      <c r="I209" s="27">
        <v>45191</v>
      </c>
      <c r="J209" s="36">
        <f t="shared" si="38"/>
        <v>-8.645993369450955E-2</v>
      </c>
      <c r="K209" s="27">
        <f t="shared" si="52"/>
        <v>-4277</v>
      </c>
      <c r="L209" s="38">
        <f t="shared" si="53"/>
        <v>0.3596663668850032</v>
      </c>
    </row>
    <row r="210" spans="2:12" x14ac:dyDescent="0.25">
      <c r="B210" s="275"/>
      <c r="C210" s="281"/>
      <c r="D210" s="4" t="s">
        <v>47</v>
      </c>
      <c r="E210" s="29">
        <v>24064</v>
      </c>
      <c r="F210" s="29">
        <v>38225</v>
      </c>
      <c r="G210" s="29">
        <v>37475</v>
      </c>
      <c r="H210" s="29">
        <v>39556</v>
      </c>
      <c r="I210" s="29">
        <v>37223</v>
      </c>
      <c r="J210" s="76">
        <f t="shared" si="38"/>
        <v>-5.897967438568108E-2</v>
      </c>
      <c r="K210" s="29">
        <f>I210-H210</f>
        <v>-2333</v>
      </c>
      <c r="L210" s="77">
        <f t="shared" si="53"/>
        <v>0.29625060685889837</v>
      </c>
    </row>
    <row r="211" spans="2:12" x14ac:dyDescent="0.25">
      <c r="B211" s="275"/>
      <c r="C211" s="281"/>
      <c r="D211" s="4" t="s">
        <v>48</v>
      </c>
      <c r="E211" s="29">
        <v>669</v>
      </c>
      <c r="F211" s="29">
        <v>857</v>
      </c>
      <c r="G211" s="29">
        <v>900</v>
      </c>
      <c r="H211" s="29">
        <v>975</v>
      </c>
      <c r="I211" s="29">
        <v>912</v>
      </c>
      <c r="J211" s="76">
        <f t="shared" si="38"/>
        <v>-6.461538461538463E-2</v>
      </c>
      <c r="K211" s="29">
        <f t="shared" ref="K211:K218" si="54">I211-H211</f>
        <v>-63</v>
      </c>
      <c r="L211" s="77">
        <f t="shared" si="53"/>
        <v>7.2584303644336913E-3</v>
      </c>
    </row>
    <row r="212" spans="2:12" x14ac:dyDescent="0.25">
      <c r="B212" s="275"/>
      <c r="C212" s="281"/>
      <c r="D212" s="4" t="s">
        <v>49</v>
      </c>
      <c r="E212" s="29">
        <v>4012</v>
      </c>
      <c r="F212" s="29">
        <v>4562</v>
      </c>
      <c r="G212" s="29">
        <v>4395</v>
      </c>
      <c r="H212" s="29">
        <v>4748</v>
      </c>
      <c r="I212" s="29">
        <v>4616</v>
      </c>
      <c r="J212" s="76">
        <f t="shared" si="38"/>
        <v>-2.780117944397642E-2</v>
      </c>
      <c r="K212" s="29">
        <f t="shared" si="54"/>
        <v>-132</v>
      </c>
      <c r="L212" s="77">
        <f t="shared" si="53"/>
        <v>3.6737844914721401E-2</v>
      </c>
    </row>
    <row r="213" spans="2:12" x14ac:dyDescent="0.25">
      <c r="B213" s="275"/>
      <c r="C213" s="281"/>
      <c r="D213" s="4" t="s">
        <v>50</v>
      </c>
      <c r="E213" s="29">
        <v>11050</v>
      </c>
      <c r="F213" s="29">
        <v>18364</v>
      </c>
      <c r="G213" s="29">
        <v>19209</v>
      </c>
      <c r="H213" s="29">
        <v>21355</v>
      </c>
      <c r="I213" s="29">
        <v>20029</v>
      </c>
      <c r="J213" s="76">
        <f t="shared" si="38"/>
        <v>-6.2093186607351858E-2</v>
      </c>
      <c r="K213" s="29">
        <f t="shared" si="54"/>
        <v>-1326</v>
      </c>
      <c r="L213" s="77">
        <f t="shared" si="53"/>
        <v>0.1594069098346956</v>
      </c>
    </row>
    <row r="214" spans="2:12" x14ac:dyDescent="0.25">
      <c r="B214" s="275"/>
      <c r="C214" s="281"/>
      <c r="D214" s="4" t="s">
        <v>51</v>
      </c>
      <c r="E214" s="29">
        <v>532</v>
      </c>
      <c r="F214" s="29">
        <v>654</v>
      </c>
      <c r="G214" s="29">
        <v>663</v>
      </c>
      <c r="H214" s="29">
        <v>729</v>
      </c>
      <c r="I214" s="29">
        <v>673</v>
      </c>
      <c r="J214" s="76">
        <f t="shared" si="38"/>
        <v>-7.6817558299039801E-2</v>
      </c>
      <c r="K214" s="29">
        <f t="shared" si="54"/>
        <v>-56</v>
      </c>
      <c r="L214" s="77">
        <f t="shared" si="53"/>
        <v>5.3562759158595112E-3</v>
      </c>
    </row>
    <row r="215" spans="2:12" x14ac:dyDescent="0.25">
      <c r="B215" s="275"/>
      <c r="C215" s="281"/>
      <c r="D215" s="4" t="s">
        <v>52</v>
      </c>
      <c r="E215" s="29">
        <v>2908</v>
      </c>
      <c r="F215" s="29">
        <v>4497</v>
      </c>
      <c r="G215" s="29">
        <v>4790</v>
      </c>
      <c r="H215" s="29">
        <v>5123</v>
      </c>
      <c r="I215" s="29">
        <v>4725</v>
      </c>
      <c r="J215" s="76">
        <f t="shared" si="38"/>
        <v>-7.7688854186999778E-2</v>
      </c>
      <c r="K215" s="29">
        <f t="shared" si="54"/>
        <v>-398</v>
      </c>
      <c r="L215" s="77">
        <f t="shared" si="53"/>
        <v>3.7605354684154817E-2</v>
      </c>
    </row>
    <row r="216" spans="2:12" x14ac:dyDescent="0.25">
      <c r="B216" s="275"/>
      <c r="C216" s="281"/>
      <c r="D216" s="4" t="s">
        <v>53</v>
      </c>
      <c r="E216" s="29">
        <v>2270</v>
      </c>
      <c r="F216" s="29">
        <v>2680</v>
      </c>
      <c r="G216" s="29">
        <v>2774</v>
      </c>
      <c r="H216" s="29">
        <v>2946</v>
      </c>
      <c r="I216" s="29">
        <v>2675</v>
      </c>
      <c r="J216" s="76">
        <f t="shared" si="38"/>
        <v>-9.19891378139851E-2</v>
      </c>
      <c r="K216" s="29">
        <f t="shared" si="54"/>
        <v>-271</v>
      </c>
      <c r="L216" s="77">
        <f t="shared" si="53"/>
        <v>2.128980397462733E-2</v>
      </c>
    </row>
    <row r="217" spans="2:12" x14ac:dyDescent="0.25">
      <c r="B217" s="275"/>
      <c r="C217" s="281"/>
      <c r="D217" s="4" t="s">
        <v>54</v>
      </c>
      <c r="E217" s="29">
        <v>4393</v>
      </c>
      <c r="F217" s="29">
        <v>6413</v>
      </c>
      <c r="G217" s="29">
        <v>6356</v>
      </c>
      <c r="H217" s="29">
        <v>6825</v>
      </c>
      <c r="I217" s="29">
        <v>6497</v>
      </c>
      <c r="J217" s="40">
        <f t="shared" si="38"/>
        <v>-4.8058608058608066E-2</v>
      </c>
      <c r="K217" s="29">
        <f t="shared" si="54"/>
        <v>-328</v>
      </c>
      <c r="L217" s="42">
        <f t="shared" si="53"/>
        <v>5.1708357541365893E-2</v>
      </c>
    </row>
    <row r="218" spans="2:12" x14ac:dyDescent="0.25">
      <c r="B218" s="276"/>
      <c r="C218" s="282"/>
      <c r="D218" s="32" t="s">
        <v>55</v>
      </c>
      <c r="E218" s="73">
        <v>2862</v>
      </c>
      <c r="F218" s="73">
        <v>3212</v>
      </c>
      <c r="G218" s="73">
        <v>3072</v>
      </c>
      <c r="H218" s="73">
        <v>3320</v>
      </c>
      <c r="I218" s="73">
        <v>3105</v>
      </c>
      <c r="J218" s="65">
        <f t="shared" si="38"/>
        <v>-6.4759036144578341E-2</v>
      </c>
      <c r="K218" s="73">
        <f t="shared" si="54"/>
        <v>-215</v>
      </c>
      <c r="L218" s="56">
        <f t="shared" si="53"/>
        <v>2.4712090221016021E-2</v>
      </c>
    </row>
    <row r="219" spans="2:12" x14ac:dyDescent="0.25">
      <c r="B219" s="289"/>
      <c r="C219" s="289"/>
      <c r="D219" s="289"/>
      <c r="E219" s="289"/>
      <c r="F219" s="289"/>
      <c r="G219" s="289"/>
      <c r="H219" s="289"/>
      <c r="I219" s="289"/>
      <c r="J219" s="289"/>
      <c r="K219" s="289"/>
      <c r="L219" s="48"/>
    </row>
    <row r="220" spans="2:12" x14ac:dyDescent="0.25">
      <c r="B220" s="291" t="s">
        <v>57</v>
      </c>
      <c r="C220" s="291"/>
      <c r="D220" s="291"/>
      <c r="E220" s="291"/>
      <c r="F220" s="291"/>
      <c r="G220" s="291"/>
      <c r="H220" s="291"/>
      <c r="I220" s="291"/>
      <c r="J220" s="291"/>
      <c r="K220" s="291"/>
    </row>
  </sheetData>
  <mergeCells count="30">
    <mergeCell ref="B219:K219"/>
    <mergeCell ref="B220:K220"/>
    <mergeCell ref="B146:K146"/>
    <mergeCell ref="B147:K147"/>
    <mergeCell ref="B150:K150"/>
    <mergeCell ref="B153:B218"/>
    <mergeCell ref="C153:C163"/>
    <mergeCell ref="C164:C174"/>
    <mergeCell ref="C175:C185"/>
    <mergeCell ref="C186:C196"/>
    <mergeCell ref="C197:C207"/>
    <mergeCell ref="C208:C218"/>
    <mergeCell ref="B73:K73"/>
    <mergeCell ref="B74:K74"/>
    <mergeCell ref="B77:K77"/>
    <mergeCell ref="B80:B145"/>
    <mergeCell ref="C80:C90"/>
    <mergeCell ref="C91:C101"/>
    <mergeCell ref="C102:C112"/>
    <mergeCell ref="C113:C123"/>
    <mergeCell ref="C124:C134"/>
    <mergeCell ref="C135:C145"/>
    <mergeCell ref="D1:L2"/>
    <mergeCell ref="B7:B72"/>
    <mergeCell ref="C7:C17"/>
    <mergeCell ref="C18:C28"/>
    <mergeCell ref="C29:C39"/>
    <mergeCell ref="C40:C50"/>
    <mergeCell ref="C51:C61"/>
    <mergeCell ref="C62:C72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C393D-711D-49CC-B751-5706AB6A68D9}">
  <sheetPr>
    <tabColor rgb="FF336600"/>
  </sheetPr>
  <dimension ref="A3:A23"/>
  <sheetViews>
    <sheetView showGridLines="0" workbookViewId="0"/>
  </sheetViews>
  <sheetFormatPr baseColWidth="10" defaultRowHeight="15" x14ac:dyDescent="0.25"/>
  <sheetData>
    <row r="3" ht="15" customHeight="1" x14ac:dyDescent="0.25"/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222F9-12BA-4F6D-9126-574ED2821418}">
  <sheetPr>
    <tabColor rgb="FF92D050"/>
  </sheetPr>
  <dimension ref="B1:W54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10" width="10.7109375" customWidth="1"/>
    <col min="11" max="11" width="12" customWidth="1"/>
    <col min="12" max="12" width="10.7109375" customWidth="1"/>
    <col min="13" max="18" width="12.28515625" customWidth="1"/>
    <col min="19" max="19" width="10.7109375" customWidth="1"/>
    <col min="20" max="20" width="13" customWidth="1"/>
    <col min="21" max="21" width="10.7109375" customWidth="1"/>
    <col min="24" max="24" width="14.42578125" customWidth="1"/>
    <col min="25" max="26" width="7.85546875" customWidth="1"/>
    <col min="27" max="27" width="8.140625" customWidth="1"/>
    <col min="28" max="28" width="9" customWidth="1"/>
    <col min="29" max="30" width="9.42578125" customWidth="1"/>
  </cols>
  <sheetData>
    <row r="1" spans="2:23" ht="42.75" customHeight="1" x14ac:dyDescent="0.25"/>
    <row r="3" spans="2:23" ht="30.75" customHeight="1" thickBot="1" x14ac:dyDescent="0.3">
      <c r="B3" s="84" t="str">
        <f>CONCATENATE("Plazas alojativas en funcionamiento Tenerife y municipios")</f>
        <v>Plazas alojativas en funcionamiento Tenerife y municipios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</row>
    <row r="4" spans="2:23" ht="6.95" customHeight="1" x14ac:dyDescent="0.25">
      <c r="B4" s="85"/>
      <c r="C4" s="85"/>
      <c r="D4" s="85"/>
      <c r="E4" s="85"/>
      <c r="F4" s="85"/>
      <c r="G4" s="85"/>
      <c r="H4" s="85"/>
      <c r="I4" s="86"/>
      <c r="J4" s="85"/>
      <c r="K4" s="85"/>
      <c r="L4" s="85"/>
      <c r="M4" s="85"/>
      <c r="N4" s="85"/>
      <c r="O4" s="85"/>
      <c r="P4" s="85"/>
      <c r="Q4" s="85"/>
      <c r="R4" s="86"/>
      <c r="S4" s="86"/>
      <c r="T4" s="86"/>
      <c r="U4" s="86"/>
      <c r="V4" s="86"/>
      <c r="W4" s="86"/>
    </row>
    <row r="5" spans="2:23" ht="15.75" thickBot="1" x14ac:dyDescent="0.3">
      <c r="B5" s="87"/>
      <c r="C5" s="296" t="s">
        <v>60</v>
      </c>
      <c r="D5" s="296"/>
      <c r="E5" s="296"/>
      <c r="F5" s="296"/>
      <c r="G5" s="296"/>
      <c r="H5" s="296"/>
      <c r="I5" s="88"/>
      <c r="J5" s="88"/>
      <c r="K5" s="88"/>
      <c r="L5" s="88"/>
      <c r="M5" s="89"/>
      <c r="N5" s="297" t="s">
        <v>61</v>
      </c>
      <c r="O5" s="297"/>
      <c r="P5" s="297"/>
      <c r="Q5" s="297"/>
      <c r="R5" s="297"/>
      <c r="S5" s="88"/>
      <c r="T5" s="88"/>
      <c r="U5" s="88"/>
      <c r="V5" s="88"/>
      <c r="W5" s="89"/>
    </row>
    <row r="6" spans="2:23" ht="59.25" customHeight="1" x14ac:dyDescent="0.25">
      <c r="B6" s="90"/>
      <c r="C6" s="14">
        <v>2020</v>
      </c>
      <c r="D6" s="14">
        <v>2021</v>
      </c>
      <c r="E6" s="14">
        <v>2022</v>
      </c>
      <c r="F6" s="14">
        <v>2023</v>
      </c>
      <c r="G6" s="14">
        <v>2024</v>
      </c>
      <c r="H6" s="14">
        <v>2025</v>
      </c>
      <c r="I6" s="91" t="str">
        <f>CONCATENATE("var. ",RIGHT(H6,2),"/",RIGHT(G6,2))</f>
        <v>var. 25/24</v>
      </c>
      <c r="J6" s="91" t="str">
        <f>CONCATENATE("var. ",RIGHT(H6,2),"/",RIGHT(D6,2))</f>
        <v>var. 25/21</v>
      </c>
      <c r="K6" s="91" t="str">
        <f>CONCATENATE("dif. ",RIGHT(H6,2),"/",RIGHT(G6,2))</f>
        <v>dif. 25/24</v>
      </c>
      <c r="L6" s="91" t="str">
        <f>CONCATENATE("dif. ",RIGHT(H6,2),"/",RIGHT(D6,2))</f>
        <v>dif. 25/21</v>
      </c>
      <c r="M6" s="14" t="str">
        <f>CONCATENATE("cuota/ total isla ",RIGHT(H6,2))</f>
        <v>cuota/ total isla 25</v>
      </c>
      <c r="N6" s="92" t="s">
        <v>234</v>
      </c>
      <c r="O6" s="92" t="s">
        <v>235</v>
      </c>
      <c r="P6" s="92" t="s">
        <v>236</v>
      </c>
      <c r="Q6" s="92" t="s">
        <v>237</v>
      </c>
      <c r="R6" s="92" t="s">
        <v>238</v>
      </c>
      <c r="S6" s="91" t="str">
        <f>CONCATENATE("var. ",RIGHT(R6,2),"/",RIGHT(Q6,2))</f>
        <v>var. 26/25</v>
      </c>
      <c r="T6" s="91" t="str">
        <f>CONCATENATE("var. ",RIGHT(R6,2),"/",RIGHT(N6,2))</f>
        <v>var. 26/22</v>
      </c>
      <c r="U6" s="91" t="str">
        <f>CONCATENATE("dif. ",RIGHT(R6,2),"/",RIGHT(Q6,2))</f>
        <v>dif. 26/25</v>
      </c>
      <c r="V6" s="91" t="str">
        <f>CONCATENATE("dif. ",RIGHT(R6,2),"/",RIGHT(N6,2))</f>
        <v>dif. 26/22</v>
      </c>
      <c r="W6" s="89" t="str">
        <f>CONCATENATE("cuota/ total isla ",RIGHT(R6,2))</f>
        <v>cuota/ total isla 26</v>
      </c>
    </row>
    <row r="7" spans="2:23" x14ac:dyDescent="0.25">
      <c r="B7" s="93" t="s">
        <v>45</v>
      </c>
      <c r="C7" s="94">
        <v>66601</v>
      </c>
      <c r="D7" s="94">
        <v>82456</v>
      </c>
      <c r="E7" s="94">
        <v>123696</v>
      </c>
      <c r="F7" s="94">
        <v>125536</v>
      </c>
      <c r="G7" s="94">
        <v>135046</v>
      </c>
      <c r="H7" s="94">
        <v>125647</v>
      </c>
      <c r="I7" s="95">
        <f t="shared" ref="I7:I52" si="0">IFERROR(H7/G7-1,"-")</f>
        <v>-6.9598507175332891E-2</v>
      </c>
      <c r="J7" s="95">
        <f t="shared" ref="J7:J52" si="1">IFERROR(H7/D7-1,"-")</f>
        <v>0.52380663626661494</v>
      </c>
      <c r="K7" s="94">
        <f t="shared" ref="K7:K52" si="2">IFERROR(H7-G7,"-")</f>
        <v>-9399</v>
      </c>
      <c r="L7" s="94">
        <f t="shared" ref="L7:L52" si="3">IFERROR(H7-D7,"-")</f>
        <v>43191</v>
      </c>
      <c r="M7" s="95">
        <f>H7/H7</f>
        <v>1</v>
      </c>
      <c r="N7" s="94">
        <v>373722</v>
      </c>
      <c r="O7" s="94">
        <v>371691</v>
      </c>
      <c r="P7" s="94">
        <v>382581</v>
      </c>
      <c r="Q7" s="94">
        <v>373476</v>
      </c>
      <c r="R7" s="94">
        <v>388266</v>
      </c>
      <c r="S7" s="95">
        <f t="shared" ref="S7:S52" si="4">IFERROR(R7/Q7-1,"-")</f>
        <v>3.960093821289723E-2</v>
      </c>
      <c r="T7" s="95">
        <f t="shared" ref="T7:T52" si="5">IFERROR(R7/N7-1,"-")</f>
        <v>3.8916627867773279E-2</v>
      </c>
      <c r="U7" s="94">
        <f t="shared" ref="U7:U52" si="6">IFERROR(R7-Q7,"-")</f>
        <v>14790</v>
      </c>
      <c r="V7" s="94">
        <f t="shared" ref="V7:V52" si="7">IFERROR(R7-N7,"-")</f>
        <v>14544</v>
      </c>
      <c r="W7" s="95">
        <f>R7/R7</f>
        <v>1</v>
      </c>
    </row>
    <row r="8" spans="2:23" x14ac:dyDescent="0.25">
      <c r="B8" s="96" t="s">
        <v>62</v>
      </c>
      <c r="C8" s="97">
        <v>44487</v>
      </c>
      <c r="D8" s="97">
        <v>56791</v>
      </c>
      <c r="E8" s="97">
        <v>89503</v>
      </c>
      <c r="F8" s="97">
        <v>89318</v>
      </c>
      <c r="G8" s="97">
        <v>99213</v>
      </c>
      <c r="H8" s="97">
        <v>89678</v>
      </c>
      <c r="I8" s="98">
        <f t="shared" si="0"/>
        <v>-9.6106357029824729E-2</v>
      </c>
      <c r="J8" s="98">
        <f t="shared" si="1"/>
        <v>0.57908823581201241</v>
      </c>
      <c r="K8" s="97">
        <f t="shared" si="2"/>
        <v>-9535</v>
      </c>
      <c r="L8" s="97">
        <f t="shared" si="3"/>
        <v>32887</v>
      </c>
      <c r="M8" s="98">
        <f>H8/H7</f>
        <v>0.71372973489219793</v>
      </c>
      <c r="N8" s="97">
        <v>89647</v>
      </c>
      <c r="O8" s="97">
        <v>87893</v>
      </c>
      <c r="P8" s="97">
        <v>91960</v>
      </c>
      <c r="Q8" s="97">
        <v>88474</v>
      </c>
      <c r="R8" s="97">
        <v>91573</v>
      </c>
      <c r="S8" s="98">
        <f t="shared" si="4"/>
        <v>3.5027239641024499E-2</v>
      </c>
      <c r="T8" s="98">
        <f t="shared" si="5"/>
        <v>2.1484266065791457E-2</v>
      </c>
      <c r="U8" s="97">
        <f t="shared" si="6"/>
        <v>3099</v>
      </c>
      <c r="V8" s="97">
        <f t="shared" si="7"/>
        <v>1926</v>
      </c>
      <c r="W8" s="98">
        <f>R8/R7</f>
        <v>0.23585119479944161</v>
      </c>
    </row>
    <row r="9" spans="2:23" x14ac:dyDescent="0.25">
      <c r="B9" s="99" t="s">
        <v>63</v>
      </c>
      <c r="C9" s="53">
        <v>34865</v>
      </c>
      <c r="D9" s="53">
        <v>45244</v>
      </c>
      <c r="E9" s="53">
        <v>71471</v>
      </c>
      <c r="F9" s="53">
        <v>72829</v>
      </c>
      <c r="G9" s="53">
        <v>81170</v>
      </c>
      <c r="H9" s="53">
        <v>73859</v>
      </c>
      <c r="I9" s="100">
        <f t="shared" si="0"/>
        <v>-9.0070222988788973E-2</v>
      </c>
      <c r="J9" s="100">
        <f t="shared" si="1"/>
        <v>0.63245955264786491</v>
      </c>
      <c r="K9" s="53">
        <f t="shared" si="2"/>
        <v>-7311</v>
      </c>
      <c r="L9" s="53">
        <f t="shared" si="3"/>
        <v>28615</v>
      </c>
      <c r="M9" s="100">
        <f>H9/H7</f>
        <v>0.5878293950512149</v>
      </c>
      <c r="N9" s="53">
        <v>71632</v>
      </c>
      <c r="O9" s="53">
        <v>72266</v>
      </c>
      <c r="P9" s="53">
        <v>75407</v>
      </c>
      <c r="Q9" s="53">
        <v>72822</v>
      </c>
      <c r="R9" s="53">
        <v>77082</v>
      </c>
      <c r="S9" s="100">
        <f t="shared" si="4"/>
        <v>5.8498805306088864E-2</v>
      </c>
      <c r="T9" s="100">
        <f t="shared" si="5"/>
        <v>7.6083314719678441E-2</v>
      </c>
      <c r="U9" s="53">
        <f t="shared" si="6"/>
        <v>4260</v>
      </c>
      <c r="V9" s="53">
        <f t="shared" si="7"/>
        <v>5450</v>
      </c>
      <c r="W9" s="100">
        <f>R9/R7</f>
        <v>0.19852884362782217</v>
      </c>
    </row>
    <row r="10" spans="2:23" x14ac:dyDescent="0.25">
      <c r="B10" s="99" t="s">
        <v>64</v>
      </c>
      <c r="C10" s="53">
        <v>9622</v>
      </c>
      <c r="D10" s="53">
        <v>11547</v>
      </c>
      <c r="E10" s="53">
        <v>18032</v>
      </c>
      <c r="F10" s="53">
        <v>16489</v>
      </c>
      <c r="G10" s="53">
        <v>18043</v>
      </c>
      <c r="H10" s="53">
        <v>15819</v>
      </c>
      <c r="I10" s="100">
        <f t="shared" si="0"/>
        <v>-0.12326109848694788</v>
      </c>
      <c r="J10" s="100">
        <f t="shared" si="1"/>
        <v>0.36996622499350473</v>
      </c>
      <c r="K10" s="53">
        <f t="shared" si="2"/>
        <v>-2224</v>
      </c>
      <c r="L10" s="53">
        <f t="shared" si="3"/>
        <v>4272</v>
      </c>
      <c r="M10" s="100">
        <f>H10/H7</f>
        <v>0.12590033984098306</v>
      </c>
      <c r="N10" s="53">
        <v>18015</v>
      </c>
      <c r="O10" s="53">
        <v>15627</v>
      </c>
      <c r="P10" s="53">
        <v>16553</v>
      </c>
      <c r="Q10" s="53">
        <v>15652</v>
      </c>
      <c r="R10" s="53">
        <v>14491</v>
      </c>
      <c r="S10" s="100">
        <f t="shared" si="4"/>
        <v>-7.4175824175824134E-2</v>
      </c>
      <c r="T10" s="100">
        <f t="shared" si="5"/>
        <v>-0.19561476547321677</v>
      </c>
      <c r="U10" s="53">
        <f t="shared" si="6"/>
        <v>-1161</v>
      </c>
      <c r="V10" s="53">
        <f t="shared" si="7"/>
        <v>-3524</v>
      </c>
      <c r="W10" s="100">
        <f>R10/R7</f>
        <v>3.7322351171619458E-2</v>
      </c>
    </row>
    <row r="11" spans="2:23" x14ac:dyDescent="0.25">
      <c r="B11" s="96" t="s">
        <v>65</v>
      </c>
      <c r="C11" s="97">
        <v>22114</v>
      </c>
      <c r="D11" s="97">
        <v>25665</v>
      </c>
      <c r="E11" s="97">
        <v>34193</v>
      </c>
      <c r="F11" s="97">
        <v>36218</v>
      </c>
      <c r="G11" s="97">
        <v>35833</v>
      </c>
      <c r="H11" s="97">
        <v>35968</v>
      </c>
      <c r="I11" s="98">
        <f t="shared" si="0"/>
        <v>3.7674769067619351E-3</v>
      </c>
      <c r="J11" s="98">
        <f t="shared" si="1"/>
        <v>0.40144165205532834</v>
      </c>
      <c r="K11" s="97">
        <f t="shared" si="2"/>
        <v>135</v>
      </c>
      <c r="L11" s="97">
        <f t="shared" si="3"/>
        <v>10303</v>
      </c>
      <c r="M11" s="98">
        <f>H11/H7</f>
        <v>0.28626230630257787</v>
      </c>
      <c r="N11" s="97">
        <v>34927</v>
      </c>
      <c r="O11" s="97">
        <v>36004</v>
      </c>
      <c r="P11" s="97">
        <v>35567</v>
      </c>
      <c r="Q11" s="97">
        <v>36018</v>
      </c>
      <c r="R11" s="97">
        <v>37849</v>
      </c>
      <c r="S11" s="98">
        <f t="shared" si="4"/>
        <v>5.0835693264478898E-2</v>
      </c>
      <c r="T11" s="98">
        <f t="shared" si="5"/>
        <v>8.3660205571620905E-2</v>
      </c>
      <c r="U11" s="97">
        <f t="shared" si="6"/>
        <v>1831</v>
      </c>
      <c r="V11" s="97">
        <f t="shared" si="7"/>
        <v>2922</v>
      </c>
      <c r="W11" s="98">
        <f>R11/R7</f>
        <v>9.7482138533891718E-2</v>
      </c>
    </row>
    <row r="12" spans="2:23" x14ac:dyDescent="0.25">
      <c r="B12" s="93" t="s">
        <v>46</v>
      </c>
      <c r="C12" s="101">
        <v>23742</v>
      </c>
      <c r="D12" s="101">
        <v>29697</v>
      </c>
      <c r="E12" s="101">
        <v>44233</v>
      </c>
      <c r="F12" s="101">
        <v>45902</v>
      </c>
      <c r="G12" s="101">
        <v>49468</v>
      </c>
      <c r="H12" s="101">
        <v>45191</v>
      </c>
      <c r="I12" s="102">
        <f t="shared" si="0"/>
        <v>-8.645993369450955E-2</v>
      </c>
      <c r="J12" s="102">
        <f t="shared" si="1"/>
        <v>0.52173620230999762</v>
      </c>
      <c r="K12" s="101">
        <f t="shared" si="2"/>
        <v>-4277</v>
      </c>
      <c r="L12" s="101">
        <f t="shared" si="3"/>
        <v>15494</v>
      </c>
      <c r="M12" s="95">
        <f>H12/H12</f>
        <v>1</v>
      </c>
      <c r="N12" s="101">
        <v>44069</v>
      </c>
      <c r="O12" s="101">
        <v>44891</v>
      </c>
      <c r="P12" s="101">
        <v>46362</v>
      </c>
      <c r="Q12" s="101">
        <v>44311</v>
      </c>
      <c r="R12" s="101">
        <v>47414</v>
      </c>
      <c r="S12" s="102">
        <f t="shared" si="4"/>
        <v>7.0027758344429092E-2</v>
      </c>
      <c r="T12" s="102">
        <f t="shared" si="5"/>
        <v>7.5903696475980942E-2</v>
      </c>
      <c r="U12" s="101">
        <f t="shared" si="6"/>
        <v>3103</v>
      </c>
      <c r="V12" s="101">
        <f t="shared" si="7"/>
        <v>3345</v>
      </c>
      <c r="W12" s="95">
        <f>R12/R12</f>
        <v>1</v>
      </c>
    </row>
    <row r="13" spans="2:23" x14ac:dyDescent="0.25">
      <c r="B13" s="96" t="s">
        <v>62</v>
      </c>
      <c r="C13" s="97">
        <v>17566</v>
      </c>
      <c r="D13" s="97">
        <v>23340</v>
      </c>
      <c r="E13" s="97">
        <v>34827</v>
      </c>
      <c r="F13" s="97">
        <v>34946</v>
      </c>
      <c r="G13" s="97">
        <v>38139</v>
      </c>
      <c r="H13" s="97">
        <v>33613</v>
      </c>
      <c r="I13" s="98">
        <f t="shared" si="0"/>
        <v>-0.11867117648601166</v>
      </c>
      <c r="J13" s="98">
        <f t="shared" si="1"/>
        <v>0.44014567266495286</v>
      </c>
      <c r="K13" s="97">
        <f t="shared" si="2"/>
        <v>-4526</v>
      </c>
      <c r="L13" s="97">
        <f t="shared" si="3"/>
        <v>10273</v>
      </c>
      <c r="M13" s="98">
        <f>H13/H12</f>
        <v>0.74379854395786771</v>
      </c>
      <c r="N13" s="97">
        <v>34314</v>
      </c>
      <c r="O13" s="97">
        <v>34058</v>
      </c>
      <c r="P13" s="97">
        <v>34975</v>
      </c>
      <c r="Q13" s="97">
        <v>32692</v>
      </c>
      <c r="R13" s="97">
        <v>33925</v>
      </c>
      <c r="S13" s="98">
        <f t="shared" si="4"/>
        <v>3.7715649088462033E-2</v>
      </c>
      <c r="T13" s="98">
        <f t="shared" si="5"/>
        <v>-1.1336480736725552E-2</v>
      </c>
      <c r="U13" s="97">
        <f t="shared" si="6"/>
        <v>1233</v>
      </c>
      <c r="V13" s="97">
        <f t="shared" si="7"/>
        <v>-389</v>
      </c>
      <c r="W13" s="98">
        <f>R13/R12</f>
        <v>0.71550596870122751</v>
      </c>
    </row>
    <row r="14" spans="2:23" x14ac:dyDescent="0.25">
      <c r="B14" s="99" t="s">
        <v>63</v>
      </c>
      <c r="C14" s="53">
        <v>14847</v>
      </c>
      <c r="D14" s="53">
        <v>20181</v>
      </c>
      <c r="E14" s="53">
        <v>29820</v>
      </c>
      <c r="F14" s="53">
        <v>30493</v>
      </c>
      <c r="G14" s="53">
        <v>33752</v>
      </c>
      <c r="H14" s="53">
        <v>29550</v>
      </c>
      <c r="I14" s="100">
        <f t="shared" si="0"/>
        <v>-0.12449632614363593</v>
      </c>
      <c r="J14" s="100">
        <f t="shared" si="1"/>
        <v>0.46424855061691694</v>
      </c>
      <c r="K14" s="53">
        <f t="shared" si="2"/>
        <v>-4202</v>
      </c>
      <c r="L14" s="53">
        <f t="shared" si="3"/>
        <v>9369</v>
      </c>
      <c r="M14" s="100">
        <f>H14/H12</f>
        <v>0.65389126153437627</v>
      </c>
      <c r="N14" s="53">
        <v>29302</v>
      </c>
      <c r="O14" s="53">
        <v>29733</v>
      </c>
      <c r="P14" s="53">
        <v>30970</v>
      </c>
      <c r="Q14" s="53">
        <v>28587</v>
      </c>
      <c r="R14" s="53">
        <v>31000</v>
      </c>
      <c r="S14" s="100">
        <f t="shared" si="4"/>
        <v>8.440899709658245E-2</v>
      </c>
      <c r="T14" s="100">
        <f t="shared" si="5"/>
        <v>5.7948262917207005E-2</v>
      </c>
      <c r="U14" s="53">
        <f t="shared" si="6"/>
        <v>2413</v>
      </c>
      <c r="V14" s="53">
        <f t="shared" si="7"/>
        <v>1698</v>
      </c>
      <c r="W14" s="100">
        <f>R14/R12</f>
        <v>0.65381532880583793</v>
      </c>
    </row>
    <row r="15" spans="2:23" x14ac:dyDescent="0.25">
      <c r="B15" s="99" t="s">
        <v>64</v>
      </c>
      <c r="C15" s="53">
        <v>2720</v>
      </c>
      <c r="D15" s="53">
        <v>3159</v>
      </c>
      <c r="E15" s="53">
        <v>5006</v>
      </c>
      <c r="F15" s="53">
        <v>4453</v>
      </c>
      <c r="G15" s="53">
        <v>4387</v>
      </c>
      <c r="H15" s="53">
        <v>4063</v>
      </c>
      <c r="I15" s="100">
        <f t="shared" si="0"/>
        <v>-7.3854570321404189E-2</v>
      </c>
      <c r="J15" s="100">
        <f t="shared" si="1"/>
        <v>0.28616650838873059</v>
      </c>
      <c r="K15" s="53">
        <f t="shared" si="2"/>
        <v>-324</v>
      </c>
      <c r="L15" s="53">
        <f t="shared" si="3"/>
        <v>904</v>
      </c>
      <c r="M15" s="100">
        <f>H15/H12</f>
        <v>8.99072824234914E-2</v>
      </c>
      <c r="N15" s="53">
        <v>5012</v>
      </c>
      <c r="O15" s="53">
        <v>4325</v>
      </c>
      <c r="P15" s="53">
        <v>4005</v>
      </c>
      <c r="Q15" s="53">
        <v>4105</v>
      </c>
      <c r="R15" s="53">
        <v>2925</v>
      </c>
      <c r="S15" s="100">
        <f t="shared" si="4"/>
        <v>-0.28745432399512794</v>
      </c>
      <c r="T15" s="100">
        <f t="shared" si="5"/>
        <v>-0.41640063846767761</v>
      </c>
      <c r="U15" s="53">
        <f t="shared" si="6"/>
        <v>-1180</v>
      </c>
      <c r="V15" s="53">
        <f t="shared" si="7"/>
        <v>-2087</v>
      </c>
      <c r="W15" s="100">
        <f>R15/R12</f>
        <v>6.1690639895389546E-2</v>
      </c>
    </row>
    <row r="16" spans="2:23" x14ac:dyDescent="0.25">
      <c r="B16" s="96" t="s">
        <v>65</v>
      </c>
      <c r="C16" s="97">
        <v>6176</v>
      </c>
      <c r="D16" s="97">
        <v>6357</v>
      </c>
      <c r="E16" s="97">
        <v>9406</v>
      </c>
      <c r="F16" s="97">
        <v>10956</v>
      </c>
      <c r="G16" s="97">
        <v>11330</v>
      </c>
      <c r="H16" s="97">
        <v>11579</v>
      </c>
      <c r="I16" s="98">
        <f t="shared" si="0"/>
        <v>2.1977052074139358E-2</v>
      </c>
      <c r="J16" s="98">
        <f t="shared" si="1"/>
        <v>0.82145666194745948</v>
      </c>
      <c r="K16" s="97">
        <f t="shared" si="2"/>
        <v>249</v>
      </c>
      <c r="L16" s="97">
        <f t="shared" si="3"/>
        <v>5222</v>
      </c>
      <c r="M16" s="98">
        <f>H16/H12</f>
        <v>0.25622358434201498</v>
      </c>
      <c r="N16" s="97">
        <v>9755</v>
      </c>
      <c r="O16" s="97">
        <v>10833</v>
      </c>
      <c r="P16" s="97">
        <v>11387</v>
      </c>
      <c r="Q16" s="97">
        <v>11619</v>
      </c>
      <c r="R16" s="97">
        <v>13489</v>
      </c>
      <c r="S16" s="98">
        <f t="shared" si="4"/>
        <v>0.1609432825544368</v>
      </c>
      <c r="T16" s="98">
        <f t="shared" si="5"/>
        <v>0.38277806253203495</v>
      </c>
      <c r="U16" s="97">
        <f t="shared" si="6"/>
        <v>1870</v>
      </c>
      <c r="V16" s="97">
        <f t="shared" si="7"/>
        <v>3734</v>
      </c>
      <c r="W16" s="98">
        <f>R16/R12</f>
        <v>0.28449403129877249</v>
      </c>
    </row>
    <row r="17" spans="2:23" x14ac:dyDescent="0.25">
      <c r="B17" s="93" t="s">
        <v>53</v>
      </c>
      <c r="C17" s="101">
        <v>1526</v>
      </c>
      <c r="D17" s="101">
        <v>2270</v>
      </c>
      <c r="E17" s="101">
        <v>2680</v>
      </c>
      <c r="F17" s="101">
        <v>2774</v>
      </c>
      <c r="G17" s="101">
        <v>2946</v>
      </c>
      <c r="H17" s="101">
        <v>2675</v>
      </c>
      <c r="I17" s="102">
        <f t="shared" si="0"/>
        <v>-9.19891378139851E-2</v>
      </c>
      <c r="J17" s="102">
        <f t="shared" si="1"/>
        <v>0.1784140969162995</v>
      </c>
      <c r="K17" s="101">
        <f t="shared" si="2"/>
        <v>-271</v>
      </c>
      <c r="L17" s="101">
        <f t="shared" si="3"/>
        <v>405</v>
      </c>
      <c r="M17" s="95">
        <f>H17/H17</f>
        <v>1</v>
      </c>
      <c r="N17" s="101">
        <v>2640</v>
      </c>
      <c r="O17" s="101">
        <v>2646</v>
      </c>
      <c r="P17" s="101">
        <v>2773</v>
      </c>
      <c r="Q17" s="101">
        <v>2675</v>
      </c>
      <c r="R17" s="101">
        <v>2924</v>
      </c>
      <c r="S17" s="102">
        <f t="shared" si="4"/>
        <v>9.3084112149532716E-2</v>
      </c>
      <c r="T17" s="102">
        <f t="shared" si="5"/>
        <v>0.10757575757575766</v>
      </c>
      <c r="U17" s="101">
        <f t="shared" si="6"/>
        <v>249</v>
      </c>
      <c r="V17" s="101">
        <f t="shared" si="7"/>
        <v>284</v>
      </c>
      <c r="W17" s="95">
        <f>R17/R17</f>
        <v>1</v>
      </c>
    </row>
    <row r="18" spans="2:23" x14ac:dyDescent="0.25">
      <c r="B18" s="96" t="s">
        <v>62</v>
      </c>
      <c r="C18" s="97">
        <v>1526</v>
      </c>
      <c r="D18" s="97">
        <v>2270</v>
      </c>
      <c r="E18" s="97">
        <v>2680</v>
      </c>
      <c r="F18" s="97">
        <v>2774</v>
      </c>
      <c r="G18" s="97">
        <v>2946</v>
      </c>
      <c r="H18" s="97">
        <v>2675</v>
      </c>
      <c r="I18" s="98">
        <f t="shared" si="0"/>
        <v>-9.19891378139851E-2</v>
      </c>
      <c r="J18" s="98">
        <f t="shared" si="1"/>
        <v>0.1784140969162995</v>
      </c>
      <c r="K18" s="97">
        <f t="shared" si="2"/>
        <v>-271</v>
      </c>
      <c r="L18" s="97">
        <f t="shared" si="3"/>
        <v>405</v>
      </c>
      <c r="M18" s="98">
        <f>H18/H17</f>
        <v>1</v>
      </c>
      <c r="N18" s="97">
        <v>2640</v>
      </c>
      <c r="O18" s="97">
        <v>2646</v>
      </c>
      <c r="P18" s="97">
        <v>2773</v>
      </c>
      <c r="Q18" s="97">
        <v>2675</v>
      </c>
      <c r="R18" s="97">
        <v>2924</v>
      </c>
      <c r="S18" s="98">
        <f t="shared" si="4"/>
        <v>9.3084112149532716E-2</v>
      </c>
      <c r="T18" s="98">
        <f t="shared" si="5"/>
        <v>0.10757575757575766</v>
      </c>
      <c r="U18" s="97">
        <f t="shared" si="6"/>
        <v>249</v>
      </c>
      <c r="V18" s="97">
        <f t="shared" si="7"/>
        <v>284</v>
      </c>
      <c r="W18" s="98">
        <f>R18/R17</f>
        <v>1</v>
      </c>
    </row>
    <row r="19" spans="2:23" x14ac:dyDescent="0.25">
      <c r="B19" s="99" t="s">
        <v>63</v>
      </c>
      <c r="C19" s="53">
        <v>846</v>
      </c>
      <c r="D19" s="53">
        <v>1514</v>
      </c>
      <c r="E19" s="53">
        <v>1660</v>
      </c>
      <c r="F19" s="53">
        <v>1674</v>
      </c>
      <c r="G19" s="53">
        <v>1852</v>
      </c>
      <c r="H19" s="53">
        <v>1836</v>
      </c>
      <c r="I19" s="100">
        <f t="shared" si="0"/>
        <v>-8.6393088552916275E-3</v>
      </c>
      <c r="J19" s="100">
        <f t="shared" si="1"/>
        <v>0.21268163804491413</v>
      </c>
      <c r="K19" s="53">
        <f t="shared" si="2"/>
        <v>-16</v>
      </c>
      <c r="L19" s="53">
        <f t="shared" si="3"/>
        <v>322</v>
      </c>
      <c r="M19" s="100">
        <f>H19/H17</f>
        <v>0.6863551401869159</v>
      </c>
      <c r="N19" s="53">
        <v>1674</v>
      </c>
      <c r="O19" s="53">
        <v>1674</v>
      </c>
      <c r="P19" s="53">
        <v>1681</v>
      </c>
      <c r="Q19" s="53">
        <v>1847</v>
      </c>
      <c r="R19" s="53">
        <v>2117</v>
      </c>
      <c r="S19" s="100">
        <f t="shared" si="4"/>
        <v>0.14618299945858149</v>
      </c>
      <c r="T19" s="100">
        <f t="shared" si="5"/>
        <v>0.2646356033452808</v>
      </c>
      <c r="U19" s="53">
        <f t="shared" si="6"/>
        <v>270</v>
      </c>
      <c r="V19" s="53">
        <f t="shared" si="7"/>
        <v>443</v>
      </c>
      <c r="W19" s="100">
        <f>R19/R17</f>
        <v>0.72400820793433651</v>
      </c>
    </row>
    <row r="20" spans="2:23" x14ac:dyDescent="0.25">
      <c r="B20" s="99" t="s">
        <v>64</v>
      </c>
      <c r="C20" s="53">
        <v>680</v>
      </c>
      <c r="D20" s="53">
        <v>756</v>
      </c>
      <c r="E20" s="53">
        <v>1020</v>
      </c>
      <c r="F20" s="53">
        <v>1100</v>
      </c>
      <c r="G20" s="53">
        <v>1094</v>
      </c>
      <c r="H20" s="53">
        <v>839</v>
      </c>
      <c r="I20" s="100">
        <f t="shared" si="0"/>
        <v>-0.23308957952468012</v>
      </c>
      <c r="J20" s="100">
        <f t="shared" si="1"/>
        <v>0.10978835978835977</v>
      </c>
      <c r="K20" s="53">
        <f t="shared" si="2"/>
        <v>-255</v>
      </c>
      <c r="L20" s="53">
        <f t="shared" si="3"/>
        <v>83</v>
      </c>
      <c r="M20" s="100">
        <f>H20/H17</f>
        <v>0.3136448598130841</v>
      </c>
      <c r="N20" s="53">
        <v>966</v>
      </c>
      <c r="O20" s="53">
        <v>972</v>
      </c>
      <c r="P20" s="53">
        <v>1092</v>
      </c>
      <c r="Q20" s="53">
        <v>828</v>
      </c>
      <c r="R20" s="53">
        <v>807</v>
      </c>
      <c r="S20" s="100">
        <f t="shared" si="4"/>
        <v>-2.5362318840579712E-2</v>
      </c>
      <c r="T20" s="100">
        <f t="shared" si="5"/>
        <v>-0.1645962732919255</v>
      </c>
      <c r="U20" s="53">
        <f t="shared" si="6"/>
        <v>-21</v>
      </c>
      <c r="V20" s="53">
        <f t="shared" si="7"/>
        <v>-159</v>
      </c>
      <c r="W20" s="100">
        <f>R20/R17</f>
        <v>0.27599179206566349</v>
      </c>
    </row>
    <row r="21" spans="2:23" x14ac:dyDescent="0.25">
      <c r="B21" s="96" t="s">
        <v>65</v>
      </c>
      <c r="C21" s="97">
        <v>0</v>
      </c>
      <c r="D21" s="97">
        <v>0</v>
      </c>
      <c r="E21" s="97">
        <v>0</v>
      </c>
      <c r="F21" s="97">
        <v>0</v>
      </c>
      <c r="G21" s="97">
        <v>0</v>
      </c>
      <c r="H21" s="97">
        <v>0</v>
      </c>
      <c r="I21" s="98" t="str">
        <f t="shared" si="0"/>
        <v>-</v>
      </c>
      <c r="J21" s="98" t="str">
        <f t="shared" si="1"/>
        <v>-</v>
      </c>
      <c r="K21" s="97">
        <f t="shared" si="2"/>
        <v>0</v>
      </c>
      <c r="L21" s="97">
        <f t="shared" si="3"/>
        <v>0</v>
      </c>
      <c r="M21" s="98">
        <f>H21/H17</f>
        <v>0</v>
      </c>
      <c r="N21" s="97" t="s">
        <v>239</v>
      </c>
      <c r="O21" s="97" t="s">
        <v>239</v>
      </c>
      <c r="P21" s="97" t="s">
        <v>239</v>
      </c>
      <c r="Q21" s="97" t="s">
        <v>239</v>
      </c>
      <c r="R21" s="97" t="s">
        <v>239</v>
      </c>
      <c r="S21" s="98" t="str">
        <f t="shared" si="4"/>
        <v>-</v>
      </c>
      <c r="T21" s="98" t="str">
        <f t="shared" si="5"/>
        <v>-</v>
      </c>
      <c r="U21" s="97" t="str">
        <f t="shared" si="6"/>
        <v>-</v>
      </c>
      <c r="V21" s="97" t="str">
        <f t="shared" si="7"/>
        <v>-</v>
      </c>
      <c r="W21" s="98" t="e">
        <f>R21/R17</f>
        <v>#VALUE!</v>
      </c>
    </row>
    <row r="22" spans="2:23" x14ac:dyDescent="0.25">
      <c r="B22" s="93" t="s">
        <v>48</v>
      </c>
      <c r="C22" s="101">
        <v>437</v>
      </c>
      <c r="D22" s="101">
        <v>669</v>
      </c>
      <c r="E22" s="101">
        <v>857</v>
      </c>
      <c r="F22" s="101">
        <v>900</v>
      </c>
      <c r="G22" s="101">
        <v>975</v>
      </c>
      <c r="H22" s="101">
        <v>912</v>
      </c>
      <c r="I22" s="102">
        <f t="shared" si="0"/>
        <v>-6.461538461538463E-2</v>
      </c>
      <c r="J22" s="102">
        <f t="shared" si="1"/>
        <v>0.36322869955156944</v>
      </c>
      <c r="K22" s="101">
        <f t="shared" si="2"/>
        <v>-63</v>
      </c>
      <c r="L22" s="101">
        <f t="shared" si="3"/>
        <v>243</v>
      </c>
      <c r="M22" s="102">
        <f>H22/H22</f>
        <v>1</v>
      </c>
      <c r="N22" s="101">
        <v>844</v>
      </c>
      <c r="O22" s="101">
        <v>763</v>
      </c>
      <c r="P22" s="101">
        <v>912</v>
      </c>
      <c r="Q22" s="101">
        <v>916</v>
      </c>
      <c r="R22" s="101">
        <v>905</v>
      </c>
      <c r="S22" s="102">
        <f t="shared" si="4"/>
        <v>-1.2008733624454093E-2</v>
      </c>
      <c r="T22" s="102">
        <f t="shared" si="5"/>
        <v>7.2274881516587675E-2</v>
      </c>
      <c r="U22" s="101">
        <f t="shared" si="6"/>
        <v>-11</v>
      </c>
      <c r="V22" s="101">
        <f t="shared" si="7"/>
        <v>61</v>
      </c>
      <c r="W22" s="102">
        <f>R22/R22</f>
        <v>1</v>
      </c>
    </row>
    <row r="23" spans="2:23" x14ac:dyDescent="0.25">
      <c r="B23" s="96" t="s">
        <v>62</v>
      </c>
      <c r="C23" s="97">
        <v>386</v>
      </c>
      <c r="D23" s="97">
        <v>669</v>
      </c>
      <c r="E23" s="97">
        <v>855</v>
      </c>
      <c r="F23" s="97">
        <v>886</v>
      </c>
      <c r="G23" s="97">
        <v>960</v>
      </c>
      <c r="H23" s="97">
        <v>894</v>
      </c>
      <c r="I23" s="98">
        <f t="shared" si="0"/>
        <v>-6.8749999999999978E-2</v>
      </c>
      <c r="J23" s="98">
        <f t="shared" si="1"/>
        <v>0.33632286995515703</v>
      </c>
      <c r="K23" s="97">
        <f t="shared" si="2"/>
        <v>-66</v>
      </c>
      <c r="L23" s="97">
        <f t="shared" si="3"/>
        <v>225</v>
      </c>
      <c r="M23" s="98">
        <f>H23/H22</f>
        <v>0.98026315789473684</v>
      </c>
      <c r="N23" s="97">
        <v>844</v>
      </c>
      <c r="O23" s="97">
        <v>749</v>
      </c>
      <c r="P23" s="97">
        <v>898</v>
      </c>
      <c r="Q23" s="97">
        <v>898</v>
      </c>
      <c r="R23" s="97">
        <v>887</v>
      </c>
      <c r="S23" s="98">
        <f t="shared" si="4"/>
        <v>-1.2249443207126953E-2</v>
      </c>
      <c r="T23" s="98">
        <f t="shared" si="5"/>
        <v>5.0947867298578142E-2</v>
      </c>
      <c r="U23" s="97">
        <f t="shared" si="6"/>
        <v>-11</v>
      </c>
      <c r="V23" s="97">
        <f t="shared" si="7"/>
        <v>43</v>
      </c>
      <c r="W23" s="98">
        <f>R23/R22</f>
        <v>0.98011049723756904</v>
      </c>
    </row>
    <row r="24" spans="2:23" x14ac:dyDescent="0.25">
      <c r="B24" s="96" t="s">
        <v>65</v>
      </c>
      <c r="C24" s="97">
        <v>0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98" t="str">
        <f t="shared" si="0"/>
        <v>-</v>
      </c>
      <c r="J24" s="98" t="str">
        <f t="shared" si="1"/>
        <v>-</v>
      </c>
      <c r="K24" s="97">
        <f t="shared" si="2"/>
        <v>0</v>
      </c>
      <c r="L24" s="97">
        <f t="shared" si="3"/>
        <v>0</v>
      </c>
      <c r="M24" s="98">
        <f>H24/H22</f>
        <v>0</v>
      </c>
      <c r="N24" s="97">
        <v>0</v>
      </c>
      <c r="O24" s="97">
        <v>0</v>
      </c>
      <c r="P24" s="97">
        <v>0</v>
      </c>
      <c r="Q24" s="97">
        <v>0</v>
      </c>
      <c r="R24" s="97">
        <v>0</v>
      </c>
      <c r="S24" s="98" t="str">
        <f t="shared" si="4"/>
        <v>-</v>
      </c>
      <c r="T24" s="98" t="str">
        <f t="shared" si="5"/>
        <v>-</v>
      </c>
      <c r="U24" s="97">
        <f t="shared" si="6"/>
        <v>0</v>
      </c>
      <c r="V24" s="97">
        <f t="shared" si="7"/>
        <v>0</v>
      </c>
      <c r="W24" s="98">
        <f>R24/R22</f>
        <v>0</v>
      </c>
    </row>
    <row r="25" spans="2:23" x14ac:dyDescent="0.25">
      <c r="B25" s="93" t="s">
        <v>49</v>
      </c>
      <c r="C25" s="101">
        <v>2900</v>
      </c>
      <c r="D25" s="101">
        <v>4012</v>
      </c>
      <c r="E25" s="101">
        <v>4562</v>
      </c>
      <c r="F25" s="101">
        <v>4395</v>
      </c>
      <c r="G25" s="101">
        <v>4748</v>
      </c>
      <c r="H25" s="101">
        <v>4616</v>
      </c>
      <c r="I25" s="102">
        <f t="shared" si="0"/>
        <v>-2.780117944397642E-2</v>
      </c>
      <c r="J25" s="102">
        <f t="shared" si="1"/>
        <v>0.15054835493519447</v>
      </c>
      <c r="K25" s="101">
        <f t="shared" si="2"/>
        <v>-132</v>
      </c>
      <c r="L25" s="101">
        <f t="shared" si="3"/>
        <v>604</v>
      </c>
      <c r="M25" s="95">
        <f>H25/H25</f>
        <v>1</v>
      </c>
      <c r="N25" s="101">
        <v>4562</v>
      </c>
      <c r="O25" s="101">
        <v>4276</v>
      </c>
      <c r="P25" s="101">
        <v>4306</v>
      </c>
      <c r="Q25" s="101">
        <v>4616</v>
      </c>
      <c r="R25" s="101">
        <v>4616</v>
      </c>
      <c r="S25" s="102">
        <f t="shared" si="4"/>
        <v>0</v>
      </c>
      <c r="T25" s="102">
        <f t="shared" si="5"/>
        <v>1.1836913634370783E-2</v>
      </c>
      <c r="U25" s="101">
        <f t="shared" si="6"/>
        <v>0</v>
      </c>
      <c r="V25" s="101">
        <f t="shared" si="7"/>
        <v>54</v>
      </c>
      <c r="W25" s="95">
        <f>R25/R25</f>
        <v>1</v>
      </c>
    </row>
    <row r="26" spans="2:23" x14ac:dyDescent="0.25">
      <c r="B26" s="96" t="s">
        <v>62</v>
      </c>
      <c r="C26" s="97">
        <v>2534</v>
      </c>
      <c r="D26" s="97">
        <v>3312</v>
      </c>
      <c r="E26" s="97">
        <v>3862</v>
      </c>
      <c r="F26" s="97">
        <v>3695</v>
      </c>
      <c r="G26" s="97">
        <v>4048</v>
      </c>
      <c r="H26" s="97">
        <v>3916</v>
      </c>
      <c r="I26" s="98">
        <f t="shared" si="0"/>
        <v>-3.2608695652173947E-2</v>
      </c>
      <c r="J26" s="98">
        <f t="shared" si="1"/>
        <v>0.18236714975845403</v>
      </c>
      <c r="K26" s="97">
        <f t="shared" si="2"/>
        <v>-132</v>
      </c>
      <c r="L26" s="97">
        <f t="shared" si="3"/>
        <v>604</v>
      </c>
      <c r="M26" s="98">
        <f>H26/H25</f>
        <v>0.84835355285961866</v>
      </c>
      <c r="N26" s="97">
        <v>3862</v>
      </c>
      <c r="O26" s="97">
        <v>3576</v>
      </c>
      <c r="P26" s="97">
        <v>3606</v>
      </c>
      <c r="Q26" s="97">
        <v>3916</v>
      </c>
      <c r="R26" s="97">
        <v>3916</v>
      </c>
      <c r="S26" s="98">
        <f t="shared" si="4"/>
        <v>0</v>
      </c>
      <c r="T26" s="98">
        <f t="shared" si="5"/>
        <v>1.3982392542724043E-2</v>
      </c>
      <c r="U26" s="97">
        <f t="shared" si="6"/>
        <v>0</v>
      </c>
      <c r="V26" s="97">
        <f t="shared" si="7"/>
        <v>54</v>
      </c>
      <c r="W26" s="98">
        <f>R26/R25</f>
        <v>0.84835355285961866</v>
      </c>
    </row>
    <row r="27" spans="2:23" x14ac:dyDescent="0.25">
      <c r="B27" s="99" t="s">
        <v>63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100" t="str">
        <f t="shared" si="0"/>
        <v>-</v>
      </c>
      <c r="J27" s="100" t="str">
        <f t="shared" si="1"/>
        <v>-</v>
      </c>
      <c r="K27" s="53">
        <f t="shared" si="2"/>
        <v>0</v>
      </c>
      <c r="L27" s="53">
        <f t="shared" si="3"/>
        <v>0</v>
      </c>
      <c r="M27" s="100">
        <f>H27/H25</f>
        <v>0</v>
      </c>
      <c r="N27" s="53">
        <v>0</v>
      </c>
      <c r="O27" s="53">
        <v>3576</v>
      </c>
      <c r="P27" s="53">
        <v>0</v>
      </c>
      <c r="Q27" s="53">
        <v>0</v>
      </c>
      <c r="R27" s="53">
        <v>0</v>
      </c>
      <c r="S27" s="100" t="str">
        <f t="shared" si="4"/>
        <v>-</v>
      </c>
      <c r="T27" s="100" t="str">
        <f t="shared" si="5"/>
        <v>-</v>
      </c>
      <c r="U27" s="53">
        <f t="shared" si="6"/>
        <v>0</v>
      </c>
      <c r="V27" s="53">
        <f t="shared" si="7"/>
        <v>0</v>
      </c>
      <c r="W27" s="100">
        <f>R27/R25</f>
        <v>0</v>
      </c>
    </row>
    <row r="28" spans="2:23" x14ac:dyDescent="0.25">
      <c r="B28" s="99" t="s">
        <v>64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100" t="str">
        <f t="shared" si="0"/>
        <v>-</v>
      </c>
      <c r="J28" s="100" t="str">
        <f t="shared" si="1"/>
        <v>-</v>
      </c>
      <c r="K28" s="53">
        <f t="shared" si="2"/>
        <v>0</v>
      </c>
      <c r="L28" s="53">
        <f t="shared" si="3"/>
        <v>0</v>
      </c>
      <c r="M28" s="100">
        <f>H28/H25</f>
        <v>0</v>
      </c>
      <c r="N28" s="53">
        <v>0</v>
      </c>
      <c r="O28" s="53">
        <v>0</v>
      </c>
      <c r="P28" s="53">
        <v>0</v>
      </c>
      <c r="Q28" s="53">
        <v>0</v>
      </c>
      <c r="R28" s="53">
        <v>0</v>
      </c>
      <c r="S28" s="100" t="str">
        <f t="shared" si="4"/>
        <v>-</v>
      </c>
      <c r="T28" s="100" t="str">
        <f t="shared" si="5"/>
        <v>-</v>
      </c>
      <c r="U28" s="53">
        <f t="shared" si="6"/>
        <v>0</v>
      </c>
      <c r="V28" s="53">
        <f t="shared" si="7"/>
        <v>0</v>
      </c>
      <c r="W28" s="100">
        <f>R28/R25</f>
        <v>0</v>
      </c>
    </row>
    <row r="29" spans="2:23" x14ac:dyDescent="0.25">
      <c r="B29" s="93" t="s">
        <v>50</v>
      </c>
      <c r="C29" s="101">
        <v>9244</v>
      </c>
      <c r="D29" s="101">
        <v>11050</v>
      </c>
      <c r="E29" s="101">
        <v>18364</v>
      </c>
      <c r="F29" s="101">
        <v>19209</v>
      </c>
      <c r="G29" s="101">
        <v>21355</v>
      </c>
      <c r="H29" s="101">
        <v>20029</v>
      </c>
      <c r="I29" s="102">
        <f t="shared" si="0"/>
        <v>-6.2093186607351858E-2</v>
      </c>
      <c r="J29" s="102">
        <f t="shared" si="1"/>
        <v>0.8125791855203619</v>
      </c>
      <c r="K29" s="101">
        <f t="shared" si="2"/>
        <v>-1326</v>
      </c>
      <c r="L29" s="101">
        <f t="shared" si="3"/>
        <v>8979</v>
      </c>
      <c r="M29" s="95">
        <f>H29/H29</f>
        <v>1</v>
      </c>
      <c r="N29" s="101">
        <v>18637</v>
      </c>
      <c r="O29" s="101">
        <v>19295</v>
      </c>
      <c r="P29" s="101">
        <v>20140</v>
      </c>
      <c r="Q29" s="101">
        <v>20107</v>
      </c>
      <c r="R29" s="101">
        <v>20985</v>
      </c>
      <c r="S29" s="102">
        <f t="shared" si="4"/>
        <v>4.3666384841100081E-2</v>
      </c>
      <c r="T29" s="102">
        <f t="shared" si="5"/>
        <v>0.12598594194344592</v>
      </c>
      <c r="U29" s="101">
        <f t="shared" si="6"/>
        <v>878</v>
      </c>
      <c r="V29" s="101">
        <f t="shared" si="7"/>
        <v>2348</v>
      </c>
      <c r="W29" s="95">
        <f>R29/R29</f>
        <v>1</v>
      </c>
    </row>
    <row r="30" spans="2:23" x14ac:dyDescent="0.25">
      <c r="B30" s="96" t="s">
        <v>62</v>
      </c>
      <c r="C30" s="97">
        <v>6499</v>
      </c>
      <c r="D30" s="97">
        <v>8111</v>
      </c>
      <c r="E30" s="97">
        <v>14162</v>
      </c>
      <c r="F30" s="97">
        <v>14862</v>
      </c>
      <c r="G30" s="97">
        <v>16965</v>
      </c>
      <c r="H30" s="97">
        <v>15578</v>
      </c>
      <c r="I30" s="98">
        <f t="shared" si="0"/>
        <v>-8.1756557618626546E-2</v>
      </c>
      <c r="J30" s="98">
        <f t="shared" si="1"/>
        <v>0.92060165207742561</v>
      </c>
      <c r="K30" s="97">
        <f t="shared" si="2"/>
        <v>-1387</v>
      </c>
      <c r="L30" s="97">
        <f t="shared" si="3"/>
        <v>7467</v>
      </c>
      <c r="M30" s="98">
        <f>H30/H29</f>
        <v>0.77777223026611408</v>
      </c>
      <c r="N30" s="97">
        <v>14288</v>
      </c>
      <c r="O30" s="97">
        <v>14948</v>
      </c>
      <c r="P30" s="97">
        <v>15777</v>
      </c>
      <c r="Q30" s="97">
        <v>15654</v>
      </c>
      <c r="R30" s="97">
        <v>16562</v>
      </c>
      <c r="S30" s="98">
        <f t="shared" si="4"/>
        <v>5.8004343937651637E-2</v>
      </c>
      <c r="T30" s="98">
        <f t="shared" si="5"/>
        <v>0.15915453527435619</v>
      </c>
      <c r="U30" s="97">
        <f t="shared" si="6"/>
        <v>908</v>
      </c>
      <c r="V30" s="97">
        <f t="shared" si="7"/>
        <v>2274</v>
      </c>
      <c r="W30" s="98">
        <f>R30/R29</f>
        <v>0.78923040266857281</v>
      </c>
    </row>
    <row r="31" spans="2:23" x14ac:dyDescent="0.25">
      <c r="B31" s="99" t="s">
        <v>63</v>
      </c>
      <c r="C31" s="53">
        <v>5381</v>
      </c>
      <c r="D31" s="53">
        <v>6550</v>
      </c>
      <c r="E31" s="53">
        <v>12095</v>
      </c>
      <c r="F31" s="53">
        <v>12793</v>
      </c>
      <c r="G31" s="53">
        <v>14687</v>
      </c>
      <c r="H31" s="53">
        <v>13444</v>
      </c>
      <c r="I31" s="100">
        <f t="shared" si="0"/>
        <v>-8.4632668346156459E-2</v>
      </c>
      <c r="J31" s="100">
        <f t="shared" si="1"/>
        <v>1.0525190839694658</v>
      </c>
      <c r="K31" s="53">
        <f t="shared" si="2"/>
        <v>-1243</v>
      </c>
      <c r="L31" s="53">
        <f t="shared" si="3"/>
        <v>6894</v>
      </c>
      <c r="M31" s="100">
        <f>H31/H29</f>
        <v>0.67122672125418148</v>
      </c>
      <c r="N31" s="53">
        <v>12383</v>
      </c>
      <c r="O31" s="53">
        <v>12849</v>
      </c>
      <c r="P31" s="53">
        <v>13674</v>
      </c>
      <c r="Q31" s="53">
        <v>13498</v>
      </c>
      <c r="R31" s="53">
        <v>14142</v>
      </c>
      <c r="S31" s="100">
        <f t="shared" si="4"/>
        <v>4.7710771966217314E-2</v>
      </c>
      <c r="T31" s="100">
        <f t="shared" si="5"/>
        <v>0.14204958410724378</v>
      </c>
      <c r="U31" s="53">
        <f t="shared" si="6"/>
        <v>644</v>
      </c>
      <c r="V31" s="53">
        <f t="shared" si="7"/>
        <v>1759</v>
      </c>
      <c r="W31" s="100">
        <f>R31/R29</f>
        <v>0.67390993566833457</v>
      </c>
    </row>
    <row r="32" spans="2:23" x14ac:dyDescent="0.25">
      <c r="B32" s="99" t="s">
        <v>64</v>
      </c>
      <c r="C32" s="53">
        <v>1118</v>
      </c>
      <c r="D32" s="53">
        <v>1561</v>
      </c>
      <c r="E32" s="53">
        <v>2067</v>
      </c>
      <c r="F32" s="53">
        <v>2069</v>
      </c>
      <c r="G32" s="53">
        <v>2278</v>
      </c>
      <c r="H32" s="53">
        <v>2134</v>
      </c>
      <c r="I32" s="100">
        <f t="shared" si="0"/>
        <v>-6.3213345039508373E-2</v>
      </c>
      <c r="J32" s="100">
        <f t="shared" si="1"/>
        <v>0.36707238949391408</v>
      </c>
      <c r="K32" s="53">
        <f t="shared" si="2"/>
        <v>-144</v>
      </c>
      <c r="L32" s="53">
        <f t="shared" si="3"/>
        <v>573</v>
      </c>
      <c r="M32" s="100">
        <f>H32/H29</f>
        <v>0.1065455090119327</v>
      </c>
      <c r="N32" s="53">
        <v>1905</v>
      </c>
      <c r="O32" s="53">
        <v>2099</v>
      </c>
      <c r="P32" s="53">
        <v>2103</v>
      </c>
      <c r="Q32" s="53">
        <v>2156</v>
      </c>
      <c r="R32" s="53">
        <v>2420</v>
      </c>
      <c r="S32" s="100">
        <f t="shared" si="4"/>
        <v>0.12244897959183665</v>
      </c>
      <c r="T32" s="100">
        <f t="shared" si="5"/>
        <v>0.2703412073490814</v>
      </c>
      <c r="U32" s="53">
        <f t="shared" si="6"/>
        <v>264</v>
      </c>
      <c r="V32" s="53">
        <f t="shared" si="7"/>
        <v>515</v>
      </c>
      <c r="W32" s="100">
        <f>R32/R29</f>
        <v>0.11532046700023826</v>
      </c>
    </row>
    <row r="33" spans="2:23" x14ac:dyDescent="0.25">
      <c r="B33" s="96" t="s">
        <v>65</v>
      </c>
      <c r="C33" s="97">
        <v>2745</v>
      </c>
      <c r="D33" s="97">
        <v>2940</v>
      </c>
      <c r="E33" s="97">
        <v>4202</v>
      </c>
      <c r="F33" s="97">
        <v>4347</v>
      </c>
      <c r="G33" s="97">
        <v>4390</v>
      </c>
      <c r="H33" s="97">
        <v>4451</v>
      </c>
      <c r="I33" s="98">
        <f t="shared" si="0"/>
        <v>1.3895216400911181E-2</v>
      </c>
      <c r="J33" s="98">
        <f t="shared" si="1"/>
        <v>0.5139455782312925</v>
      </c>
      <c r="K33" s="97">
        <f t="shared" si="2"/>
        <v>61</v>
      </c>
      <c r="L33" s="97">
        <f t="shared" si="3"/>
        <v>1511</v>
      </c>
      <c r="M33" s="98">
        <f>H33/H29</f>
        <v>0.22222776973388586</v>
      </c>
      <c r="N33" s="97">
        <v>4349</v>
      </c>
      <c r="O33" s="97">
        <v>4347</v>
      </c>
      <c r="P33" s="97">
        <v>4363</v>
      </c>
      <c r="Q33" s="97">
        <v>4453</v>
      </c>
      <c r="R33" s="97">
        <v>4423</v>
      </c>
      <c r="S33" s="98">
        <f t="shared" si="4"/>
        <v>-6.7370312149113154E-3</v>
      </c>
      <c r="T33" s="98">
        <f t="shared" si="5"/>
        <v>1.7015405840423048E-2</v>
      </c>
      <c r="U33" s="97">
        <f t="shared" si="6"/>
        <v>-30</v>
      </c>
      <c r="V33" s="97">
        <f t="shared" si="7"/>
        <v>74</v>
      </c>
      <c r="W33" s="98">
        <f>R33/R29</f>
        <v>0.21076959733142722</v>
      </c>
    </row>
    <row r="34" spans="2:23" x14ac:dyDescent="0.25">
      <c r="B34" s="93" t="s">
        <v>51</v>
      </c>
      <c r="C34" s="101">
        <v>339</v>
      </c>
      <c r="D34" s="101">
        <v>532</v>
      </c>
      <c r="E34" s="101">
        <v>654</v>
      </c>
      <c r="F34" s="101">
        <v>663</v>
      </c>
      <c r="G34" s="101">
        <v>729</v>
      </c>
      <c r="H34" s="101">
        <v>673</v>
      </c>
      <c r="I34" s="102">
        <f t="shared" si="0"/>
        <v>-7.6817558299039801E-2</v>
      </c>
      <c r="J34" s="102">
        <f t="shared" si="1"/>
        <v>0.26503759398496252</v>
      </c>
      <c r="K34" s="101">
        <f t="shared" si="2"/>
        <v>-56</v>
      </c>
      <c r="L34" s="101">
        <f t="shared" si="3"/>
        <v>141</v>
      </c>
      <c r="M34" s="95">
        <f>H34/H34</f>
        <v>1</v>
      </c>
      <c r="N34" s="101">
        <v>663</v>
      </c>
      <c r="O34" s="101">
        <v>663</v>
      </c>
      <c r="P34" s="101">
        <v>673</v>
      </c>
      <c r="Q34" s="101">
        <v>673</v>
      </c>
      <c r="R34" s="101">
        <v>663</v>
      </c>
      <c r="S34" s="102">
        <f t="shared" si="4"/>
        <v>-1.4858841010401136E-2</v>
      </c>
      <c r="T34" s="102">
        <f t="shared" si="5"/>
        <v>0</v>
      </c>
      <c r="U34" s="101">
        <f t="shared" si="6"/>
        <v>-10</v>
      </c>
      <c r="V34" s="101">
        <f t="shared" si="7"/>
        <v>0</v>
      </c>
      <c r="W34" s="95">
        <f>R34/R34</f>
        <v>1</v>
      </c>
    </row>
    <row r="35" spans="2:23" x14ac:dyDescent="0.25">
      <c r="B35" s="96" t="s">
        <v>62</v>
      </c>
      <c r="C35" s="97">
        <v>339</v>
      </c>
      <c r="D35" s="97">
        <v>532</v>
      </c>
      <c r="E35" s="97">
        <v>654</v>
      </c>
      <c r="F35" s="97">
        <v>663</v>
      </c>
      <c r="G35" s="97">
        <v>729</v>
      </c>
      <c r="H35" s="97">
        <v>673</v>
      </c>
      <c r="I35" s="98">
        <f t="shared" si="0"/>
        <v>-7.6817558299039801E-2</v>
      </c>
      <c r="J35" s="98">
        <f t="shared" si="1"/>
        <v>0.26503759398496252</v>
      </c>
      <c r="K35" s="97">
        <f t="shared" si="2"/>
        <v>-56</v>
      </c>
      <c r="L35" s="97">
        <f t="shared" si="3"/>
        <v>141</v>
      </c>
      <c r="M35" s="98">
        <f>H35/H34</f>
        <v>1</v>
      </c>
      <c r="N35" s="97">
        <v>663</v>
      </c>
      <c r="O35" s="97">
        <v>663</v>
      </c>
      <c r="P35" s="97">
        <v>673</v>
      </c>
      <c r="Q35" s="97">
        <v>673</v>
      </c>
      <c r="R35" s="97">
        <v>663</v>
      </c>
      <c r="S35" s="98">
        <f t="shared" si="4"/>
        <v>-1.4858841010401136E-2</v>
      </c>
      <c r="T35" s="98">
        <f t="shared" si="5"/>
        <v>0</v>
      </c>
      <c r="U35" s="97">
        <f t="shared" si="6"/>
        <v>-10</v>
      </c>
      <c r="V35" s="97">
        <f t="shared" si="7"/>
        <v>0</v>
      </c>
      <c r="W35" s="98">
        <f>R35/R34</f>
        <v>1</v>
      </c>
    </row>
    <row r="36" spans="2:23" x14ac:dyDescent="0.25">
      <c r="B36" s="93" t="s">
        <v>52</v>
      </c>
      <c r="C36" s="101">
        <v>2132</v>
      </c>
      <c r="D36" s="101">
        <v>2908</v>
      </c>
      <c r="E36" s="101">
        <v>4497</v>
      </c>
      <c r="F36" s="101">
        <v>4790</v>
      </c>
      <c r="G36" s="101">
        <v>5123</v>
      </c>
      <c r="H36" s="101">
        <v>4725</v>
      </c>
      <c r="I36" s="102">
        <f t="shared" si="0"/>
        <v>-7.7688854186999778E-2</v>
      </c>
      <c r="J36" s="102">
        <f t="shared" si="1"/>
        <v>0.62482806052269591</v>
      </c>
      <c r="K36" s="101">
        <f t="shared" si="2"/>
        <v>-398</v>
      </c>
      <c r="L36" s="101">
        <f t="shared" si="3"/>
        <v>1817</v>
      </c>
      <c r="M36" s="102">
        <f>H36/H36</f>
        <v>1</v>
      </c>
      <c r="N36" s="101">
        <v>4653</v>
      </c>
      <c r="O36" s="101">
        <v>4791</v>
      </c>
      <c r="P36" s="101">
        <v>4797</v>
      </c>
      <c r="Q36" s="101">
        <v>4605</v>
      </c>
      <c r="R36" s="101">
        <v>4891</v>
      </c>
      <c r="S36" s="102">
        <f t="shared" si="4"/>
        <v>6.2106406080347343E-2</v>
      </c>
      <c r="T36" s="102">
        <f t="shared" si="5"/>
        <v>5.1149795830646827E-2</v>
      </c>
      <c r="U36" s="101">
        <f t="shared" si="6"/>
        <v>286</v>
      </c>
      <c r="V36" s="101">
        <f t="shared" si="7"/>
        <v>238</v>
      </c>
      <c r="W36" s="102">
        <f>R36/R36</f>
        <v>1</v>
      </c>
    </row>
    <row r="37" spans="2:23" x14ac:dyDescent="0.25">
      <c r="B37" s="96" t="s">
        <v>62</v>
      </c>
      <c r="C37" s="97">
        <v>1559</v>
      </c>
      <c r="D37" s="97">
        <v>2545</v>
      </c>
      <c r="E37" s="97">
        <v>3640</v>
      </c>
      <c r="F37" s="97">
        <v>3915</v>
      </c>
      <c r="G37" s="97">
        <v>4241</v>
      </c>
      <c r="H37" s="97">
        <v>3843</v>
      </c>
      <c r="I37" s="98">
        <f t="shared" si="0"/>
        <v>-9.3845791087007746E-2</v>
      </c>
      <c r="J37" s="98">
        <f t="shared" si="1"/>
        <v>0.5100196463654223</v>
      </c>
      <c r="K37" s="97">
        <f t="shared" si="2"/>
        <v>-398</v>
      </c>
      <c r="L37" s="97">
        <f t="shared" si="3"/>
        <v>1298</v>
      </c>
      <c r="M37" s="98">
        <f>H37/H36</f>
        <v>0.81333333333333335</v>
      </c>
      <c r="N37" s="97">
        <v>3809</v>
      </c>
      <c r="O37" s="97">
        <v>3915</v>
      </c>
      <c r="P37" s="97">
        <v>3915</v>
      </c>
      <c r="Q37" s="97">
        <v>3723</v>
      </c>
      <c r="R37" s="97">
        <v>4011</v>
      </c>
      <c r="S37" s="98">
        <f t="shared" si="4"/>
        <v>7.7356970185334495E-2</v>
      </c>
      <c r="T37" s="98">
        <f t="shared" si="5"/>
        <v>5.3032291940141807E-2</v>
      </c>
      <c r="U37" s="97">
        <f t="shared" si="6"/>
        <v>288</v>
      </c>
      <c r="V37" s="97">
        <f t="shared" si="7"/>
        <v>202</v>
      </c>
      <c r="W37" s="98">
        <f>R37/R36</f>
        <v>0.82007769372316497</v>
      </c>
    </row>
    <row r="38" spans="2:23" x14ac:dyDescent="0.25">
      <c r="B38" s="96" t="s">
        <v>65</v>
      </c>
      <c r="C38" s="97">
        <v>573</v>
      </c>
      <c r="D38" s="97">
        <v>363</v>
      </c>
      <c r="E38" s="97">
        <v>857</v>
      </c>
      <c r="F38" s="97">
        <v>875</v>
      </c>
      <c r="G38" s="97">
        <v>882</v>
      </c>
      <c r="H38" s="97">
        <v>882</v>
      </c>
      <c r="I38" s="98">
        <f t="shared" si="0"/>
        <v>0</v>
      </c>
      <c r="J38" s="98">
        <f t="shared" si="1"/>
        <v>1.4297520661157024</v>
      </c>
      <c r="K38" s="97">
        <f t="shared" si="2"/>
        <v>0</v>
      </c>
      <c r="L38" s="97">
        <f t="shared" si="3"/>
        <v>519</v>
      </c>
      <c r="M38" s="98">
        <f>H38/H36</f>
        <v>0.18666666666666668</v>
      </c>
      <c r="N38" s="97">
        <v>844</v>
      </c>
      <c r="O38" s="97">
        <v>876</v>
      </c>
      <c r="P38" s="97">
        <v>882</v>
      </c>
      <c r="Q38" s="97">
        <v>882</v>
      </c>
      <c r="R38" s="97">
        <v>880</v>
      </c>
      <c r="S38" s="98">
        <f t="shared" si="4"/>
        <v>-2.2675736961451642E-3</v>
      </c>
      <c r="T38" s="98">
        <f t="shared" si="5"/>
        <v>4.2654028436019065E-2</v>
      </c>
      <c r="U38" s="97">
        <f t="shared" si="6"/>
        <v>-2</v>
      </c>
      <c r="V38" s="97">
        <f t="shared" si="7"/>
        <v>36</v>
      </c>
      <c r="W38" s="98">
        <f>R38/R36</f>
        <v>0.179922306276835</v>
      </c>
    </row>
    <row r="39" spans="2:23" x14ac:dyDescent="0.25">
      <c r="B39" s="93" t="s">
        <v>53</v>
      </c>
      <c r="C39" s="101">
        <v>1526</v>
      </c>
      <c r="D39" s="101">
        <v>2270</v>
      </c>
      <c r="E39" s="101">
        <v>2680</v>
      </c>
      <c r="F39" s="101">
        <v>2774</v>
      </c>
      <c r="G39" s="101">
        <v>2946</v>
      </c>
      <c r="H39" s="101">
        <v>2675</v>
      </c>
      <c r="I39" s="102">
        <f t="shared" si="0"/>
        <v>-9.19891378139851E-2</v>
      </c>
      <c r="J39" s="102">
        <f t="shared" si="1"/>
        <v>0.1784140969162995</v>
      </c>
      <c r="K39" s="101">
        <f t="shared" si="2"/>
        <v>-271</v>
      </c>
      <c r="L39" s="101">
        <f t="shared" si="3"/>
        <v>405</v>
      </c>
      <c r="M39" s="95">
        <f>H39/H39</f>
        <v>1</v>
      </c>
      <c r="N39" s="101">
        <v>2640</v>
      </c>
      <c r="O39" s="101">
        <v>2646</v>
      </c>
      <c r="P39" s="101">
        <v>2773</v>
      </c>
      <c r="Q39" s="101">
        <v>2675</v>
      </c>
      <c r="R39" s="101">
        <v>2924</v>
      </c>
      <c r="S39" s="102">
        <f t="shared" si="4"/>
        <v>9.3084112149532716E-2</v>
      </c>
      <c r="T39" s="102">
        <f t="shared" si="5"/>
        <v>0.10757575757575766</v>
      </c>
      <c r="U39" s="101">
        <f t="shared" si="6"/>
        <v>249</v>
      </c>
      <c r="V39" s="101">
        <f t="shared" si="7"/>
        <v>284</v>
      </c>
      <c r="W39" s="95">
        <f>R39/R39</f>
        <v>1</v>
      </c>
    </row>
    <row r="40" spans="2:23" x14ac:dyDescent="0.25">
      <c r="B40" s="96" t="s">
        <v>62</v>
      </c>
      <c r="C40" s="97">
        <v>1526</v>
      </c>
      <c r="D40" s="97">
        <v>2270</v>
      </c>
      <c r="E40" s="97">
        <v>2680</v>
      </c>
      <c r="F40" s="97">
        <v>2774</v>
      </c>
      <c r="G40" s="97">
        <v>2946</v>
      </c>
      <c r="H40" s="97">
        <v>2675</v>
      </c>
      <c r="I40" s="98">
        <f t="shared" si="0"/>
        <v>-9.19891378139851E-2</v>
      </c>
      <c r="J40" s="98">
        <f t="shared" si="1"/>
        <v>0.1784140969162995</v>
      </c>
      <c r="K40" s="97">
        <f t="shared" si="2"/>
        <v>-271</v>
      </c>
      <c r="L40" s="97">
        <f t="shared" si="3"/>
        <v>405</v>
      </c>
      <c r="M40" s="98">
        <f>H40/H39</f>
        <v>1</v>
      </c>
      <c r="N40" s="97">
        <v>2640</v>
      </c>
      <c r="O40" s="97">
        <v>2646</v>
      </c>
      <c r="P40" s="97">
        <v>2773</v>
      </c>
      <c r="Q40" s="97">
        <v>2675</v>
      </c>
      <c r="R40" s="97">
        <v>2924</v>
      </c>
      <c r="S40" s="98">
        <f t="shared" si="4"/>
        <v>9.3084112149532716E-2</v>
      </c>
      <c r="T40" s="98">
        <f t="shared" si="5"/>
        <v>0.10757575757575766</v>
      </c>
      <c r="U40" s="97">
        <f t="shared" si="6"/>
        <v>249</v>
      </c>
      <c r="V40" s="97">
        <f t="shared" si="7"/>
        <v>284</v>
      </c>
      <c r="W40" s="98">
        <f>R40/R39</f>
        <v>1</v>
      </c>
    </row>
    <row r="41" spans="2:23" x14ac:dyDescent="0.25">
      <c r="B41" s="99" t="s">
        <v>63</v>
      </c>
      <c r="C41" s="53">
        <v>846</v>
      </c>
      <c r="D41" s="53">
        <v>1514</v>
      </c>
      <c r="E41" s="53">
        <v>1660</v>
      </c>
      <c r="F41" s="53">
        <v>1674</v>
      </c>
      <c r="G41" s="53">
        <v>1852</v>
      </c>
      <c r="H41" s="53">
        <v>1836</v>
      </c>
      <c r="I41" s="100">
        <f t="shared" si="0"/>
        <v>-8.6393088552916275E-3</v>
      </c>
      <c r="J41" s="100">
        <f t="shared" si="1"/>
        <v>0.21268163804491413</v>
      </c>
      <c r="K41" s="53">
        <f t="shared" si="2"/>
        <v>-16</v>
      </c>
      <c r="L41" s="53">
        <f t="shared" si="3"/>
        <v>322</v>
      </c>
      <c r="M41" s="100">
        <f>H41/H39</f>
        <v>0.6863551401869159</v>
      </c>
      <c r="N41" s="53">
        <v>1674</v>
      </c>
      <c r="O41" s="53">
        <v>1674</v>
      </c>
      <c r="P41" s="53">
        <v>1681</v>
      </c>
      <c r="Q41" s="53">
        <v>1847</v>
      </c>
      <c r="R41" s="53">
        <v>2117</v>
      </c>
      <c r="S41" s="100">
        <f t="shared" si="4"/>
        <v>0.14618299945858149</v>
      </c>
      <c r="T41" s="100">
        <f t="shared" si="5"/>
        <v>0.2646356033452808</v>
      </c>
      <c r="U41" s="53">
        <f t="shared" si="6"/>
        <v>270</v>
      </c>
      <c r="V41" s="53">
        <f t="shared" si="7"/>
        <v>443</v>
      </c>
      <c r="W41" s="100">
        <f>R41/R39</f>
        <v>0.72400820793433651</v>
      </c>
    </row>
    <row r="42" spans="2:23" x14ac:dyDescent="0.25">
      <c r="B42" s="99" t="s">
        <v>64</v>
      </c>
      <c r="C42" s="53">
        <v>680</v>
      </c>
      <c r="D42" s="53">
        <v>756</v>
      </c>
      <c r="E42" s="53">
        <v>1020</v>
      </c>
      <c r="F42" s="53">
        <v>1100</v>
      </c>
      <c r="G42" s="53">
        <v>1094</v>
      </c>
      <c r="H42" s="53">
        <v>839</v>
      </c>
      <c r="I42" s="100">
        <f t="shared" si="0"/>
        <v>-0.23308957952468012</v>
      </c>
      <c r="J42" s="100">
        <f t="shared" si="1"/>
        <v>0.10978835978835977</v>
      </c>
      <c r="K42" s="53">
        <f t="shared" si="2"/>
        <v>-255</v>
      </c>
      <c r="L42" s="53">
        <f t="shared" si="3"/>
        <v>83</v>
      </c>
      <c r="M42" s="100">
        <f>H42/H39</f>
        <v>0.3136448598130841</v>
      </c>
      <c r="N42" s="53">
        <v>966</v>
      </c>
      <c r="O42" s="53">
        <v>972</v>
      </c>
      <c r="P42" s="53">
        <v>1092</v>
      </c>
      <c r="Q42" s="53">
        <v>828</v>
      </c>
      <c r="R42" s="53">
        <v>807</v>
      </c>
      <c r="S42" s="100">
        <f t="shared" si="4"/>
        <v>-2.5362318840579712E-2</v>
      </c>
      <c r="T42" s="100">
        <f t="shared" si="5"/>
        <v>-0.1645962732919255</v>
      </c>
      <c r="U42" s="53">
        <f t="shared" si="6"/>
        <v>-21</v>
      </c>
      <c r="V42" s="53">
        <f t="shared" si="7"/>
        <v>-159</v>
      </c>
      <c r="W42" s="100">
        <f>R42/R39</f>
        <v>0.27599179206566349</v>
      </c>
    </row>
    <row r="43" spans="2:23" x14ac:dyDescent="0.25">
      <c r="B43" s="93" t="s">
        <v>54</v>
      </c>
      <c r="C43" s="101">
        <v>3786</v>
      </c>
      <c r="D43" s="101">
        <v>4393</v>
      </c>
      <c r="E43" s="101">
        <v>6413</v>
      </c>
      <c r="F43" s="101">
        <v>6356</v>
      </c>
      <c r="G43" s="101">
        <v>6825</v>
      </c>
      <c r="H43" s="101">
        <v>6497</v>
      </c>
      <c r="I43" s="102">
        <f t="shared" si="0"/>
        <v>-4.8058608058608066E-2</v>
      </c>
      <c r="J43" s="102">
        <f t="shared" si="1"/>
        <v>0.47894377418620526</v>
      </c>
      <c r="K43" s="101">
        <f t="shared" si="2"/>
        <v>-328</v>
      </c>
      <c r="L43" s="101">
        <f t="shared" si="3"/>
        <v>2104</v>
      </c>
      <c r="M43" s="95">
        <f>H43/H43</f>
        <v>1</v>
      </c>
      <c r="N43" s="101">
        <v>6412</v>
      </c>
      <c r="O43" s="101">
        <v>6415</v>
      </c>
      <c r="P43" s="101">
        <v>6415</v>
      </c>
      <c r="Q43" s="101">
        <v>6497</v>
      </c>
      <c r="R43" s="101">
        <v>6395</v>
      </c>
      <c r="S43" s="102">
        <f t="shared" si="4"/>
        <v>-1.5699553640141639E-2</v>
      </c>
      <c r="T43" s="102">
        <f t="shared" si="5"/>
        <v>-2.6512788521522168E-3</v>
      </c>
      <c r="U43" s="101">
        <f t="shared" si="6"/>
        <v>-102</v>
      </c>
      <c r="V43" s="101">
        <f t="shared" si="7"/>
        <v>-17</v>
      </c>
      <c r="W43" s="95">
        <f>R43/R43</f>
        <v>1</v>
      </c>
    </row>
    <row r="44" spans="2:23" x14ac:dyDescent="0.25">
      <c r="B44" s="96" t="s">
        <v>62</v>
      </c>
      <c r="C44" s="97">
        <v>2472</v>
      </c>
      <c r="D44" s="97">
        <v>2822</v>
      </c>
      <c r="E44" s="97">
        <v>4753</v>
      </c>
      <c r="F44" s="97">
        <v>4696</v>
      </c>
      <c r="G44" s="97">
        <v>5151</v>
      </c>
      <c r="H44" s="97">
        <v>4755</v>
      </c>
      <c r="I44" s="98">
        <f t="shared" si="0"/>
        <v>-7.687827606290043E-2</v>
      </c>
      <c r="J44" s="98">
        <f t="shared" si="1"/>
        <v>0.68497519489723602</v>
      </c>
      <c r="K44" s="97">
        <f t="shared" si="2"/>
        <v>-396</v>
      </c>
      <c r="L44" s="97">
        <f t="shared" si="3"/>
        <v>1933</v>
      </c>
      <c r="M44" s="98">
        <f>H44/H43</f>
        <v>0.73187625057718952</v>
      </c>
      <c r="N44" s="97">
        <v>4752</v>
      </c>
      <c r="O44" s="97">
        <v>4755</v>
      </c>
      <c r="P44" s="97">
        <v>4755</v>
      </c>
      <c r="Q44" s="97">
        <v>4755</v>
      </c>
      <c r="R44" s="97">
        <v>4755</v>
      </c>
      <c r="S44" s="98">
        <f t="shared" si="4"/>
        <v>0</v>
      </c>
      <c r="T44" s="98">
        <f t="shared" si="5"/>
        <v>6.3131313131314926E-4</v>
      </c>
      <c r="U44" s="97">
        <f t="shared" si="6"/>
        <v>0</v>
      </c>
      <c r="V44" s="97">
        <f t="shared" si="7"/>
        <v>3</v>
      </c>
      <c r="W44" s="98">
        <f>R44/R43</f>
        <v>0.74354964816262703</v>
      </c>
    </row>
    <row r="45" spans="2:23" x14ac:dyDescent="0.25">
      <c r="B45" s="99" t="s">
        <v>63</v>
      </c>
      <c r="C45" s="53">
        <v>0</v>
      </c>
      <c r="D45" s="53">
        <v>2173</v>
      </c>
      <c r="E45" s="53">
        <v>3692</v>
      </c>
      <c r="F45" s="53">
        <v>3635</v>
      </c>
      <c r="G45" s="53">
        <v>4002</v>
      </c>
      <c r="H45" s="53">
        <v>3694</v>
      </c>
      <c r="I45" s="100">
        <f t="shared" si="0"/>
        <v>-7.6961519240379861E-2</v>
      </c>
      <c r="J45" s="100">
        <f t="shared" si="1"/>
        <v>0.69995398067188219</v>
      </c>
      <c r="K45" s="53">
        <f t="shared" si="2"/>
        <v>-308</v>
      </c>
      <c r="L45" s="53">
        <f t="shared" si="3"/>
        <v>1521</v>
      </c>
      <c r="M45" s="100">
        <f>H45/H43</f>
        <v>0.56857010928120666</v>
      </c>
      <c r="N45" s="53">
        <v>3691</v>
      </c>
      <c r="O45" s="53">
        <v>3694</v>
      </c>
      <c r="P45" s="53">
        <v>3694</v>
      </c>
      <c r="Q45" s="53">
        <v>3694</v>
      </c>
      <c r="R45" s="53">
        <v>3694</v>
      </c>
      <c r="S45" s="100">
        <f t="shared" si="4"/>
        <v>0</v>
      </c>
      <c r="T45" s="100">
        <f t="shared" si="5"/>
        <v>8.127878623678253E-4</v>
      </c>
      <c r="U45" s="53">
        <f t="shared" si="6"/>
        <v>0</v>
      </c>
      <c r="V45" s="53">
        <f t="shared" si="7"/>
        <v>3</v>
      </c>
      <c r="W45" s="100">
        <f>R45/R43</f>
        <v>0.57763878029710714</v>
      </c>
    </row>
    <row r="46" spans="2:23" x14ac:dyDescent="0.25">
      <c r="B46" s="99" t="s">
        <v>64</v>
      </c>
      <c r="C46" s="53">
        <v>0</v>
      </c>
      <c r="D46" s="53">
        <v>649</v>
      </c>
      <c r="E46" s="53">
        <v>1061</v>
      </c>
      <c r="F46" s="53">
        <v>1061</v>
      </c>
      <c r="G46" s="53">
        <v>1149</v>
      </c>
      <c r="H46" s="53">
        <v>1061</v>
      </c>
      <c r="I46" s="100">
        <f t="shared" si="0"/>
        <v>-7.6588337684943442E-2</v>
      </c>
      <c r="J46" s="100">
        <f t="shared" si="1"/>
        <v>0.6348228043143298</v>
      </c>
      <c r="K46" s="53">
        <f t="shared" si="2"/>
        <v>-88</v>
      </c>
      <c r="L46" s="53">
        <f t="shared" si="3"/>
        <v>412</v>
      </c>
      <c r="M46" s="100">
        <f>H46/H43</f>
        <v>0.16330614129598275</v>
      </c>
      <c r="N46" s="53">
        <v>1061</v>
      </c>
      <c r="O46" s="53">
        <v>1061</v>
      </c>
      <c r="P46" s="53">
        <v>1061</v>
      </c>
      <c r="Q46" s="53">
        <v>1061</v>
      </c>
      <c r="R46" s="53">
        <v>1061</v>
      </c>
      <c r="S46" s="100">
        <f t="shared" si="4"/>
        <v>0</v>
      </c>
      <c r="T46" s="100">
        <f t="shared" si="5"/>
        <v>0</v>
      </c>
      <c r="U46" s="53">
        <f t="shared" si="6"/>
        <v>0</v>
      </c>
      <c r="V46" s="53">
        <f t="shared" si="7"/>
        <v>0</v>
      </c>
      <c r="W46" s="100">
        <f>R46/R43</f>
        <v>0.16591086786551995</v>
      </c>
    </row>
    <row r="47" spans="2:23" x14ac:dyDescent="0.25">
      <c r="B47" s="96" t="s">
        <v>65</v>
      </c>
      <c r="C47" s="97">
        <v>1314</v>
      </c>
      <c r="D47" s="97">
        <v>1571</v>
      </c>
      <c r="E47" s="97">
        <v>1660</v>
      </c>
      <c r="F47" s="97">
        <v>1660</v>
      </c>
      <c r="G47" s="97">
        <v>1674</v>
      </c>
      <c r="H47" s="97">
        <v>1742</v>
      </c>
      <c r="I47" s="98">
        <f t="shared" si="0"/>
        <v>4.0621266427718128E-2</v>
      </c>
      <c r="J47" s="98">
        <f t="shared" si="1"/>
        <v>0.10884786760025467</v>
      </c>
      <c r="K47" s="97">
        <f t="shared" si="2"/>
        <v>68</v>
      </c>
      <c r="L47" s="97">
        <f t="shared" si="3"/>
        <v>171</v>
      </c>
      <c r="M47" s="98">
        <f>H47/H43</f>
        <v>0.26812374942281053</v>
      </c>
      <c r="N47" s="97">
        <v>1660</v>
      </c>
      <c r="O47" s="97">
        <v>1660</v>
      </c>
      <c r="P47" s="97">
        <v>1660</v>
      </c>
      <c r="Q47" s="97">
        <v>1742</v>
      </c>
      <c r="R47" s="97">
        <v>1640</v>
      </c>
      <c r="S47" s="98">
        <f t="shared" si="4"/>
        <v>-5.8553386911595839E-2</v>
      </c>
      <c r="T47" s="98">
        <f t="shared" si="5"/>
        <v>-1.2048192771084376E-2</v>
      </c>
      <c r="U47" s="97">
        <f t="shared" si="6"/>
        <v>-102</v>
      </c>
      <c r="V47" s="97">
        <f t="shared" si="7"/>
        <v>-20</v>
      </c>
      <c r="W47" s="98">
        <f>R47/R43</f>
        <v>0.25645035183737297</v>
      </c>
    </row>
    <row r="48" spans="2:23" x14ac:dyDescent="0.25">
      <c r="B48" s="93" t="s">
        <v>55</v>
      </c>
      <c r="C48" s="101">
        <v>2158</v>
      </c>
      <c r="D48" s="101">
        <v>2862</v>
      </c>
      <c r="E48" s="101">
        <v>3212</v>
      </c>
      <c r="F48" s="101">
        <v>3072</v>
      </c>
      <c r="G48" s="101">
        <v>3320</v>
      </c>
      <c r="H48" s="101">
        <v>3105</v>
      </c>
      <c r="I48" s="102">
        <f t="shared" si="0"/>
        <v>-6.4759036144578341E-2</v>
      </c>
      <c r="J48" s="102">
        <f t="shared" si="1"/>
        <v>8.4905660377358583E-2</v>
      </c>
      <c r="K48" s="101">
        <f t="shared" si="2"/>
        <v>-215</v>
      </c>
      <c r="L48" s="101">
        <f t="shared" si="3"/>
        <v>243</v>
      </c>
      <c r="M48" s="95">
        <f>H48/H48</f>
        <v>1</v>
      </c>
      <c r="N48" s="101">
        <v>3053</v>
      </c>
      <c r="O48" s="101">
        <v>3053</v>
      </c>
      <c r="P48" s="101">
        <v>3077</v>
      </c>
      <c r="Q48" s="101">
        <v>3077</v>
      </c>
      <c r="R48" s="101">
        <v>3077</v>
      </c>
      <c r="S48" s="102">
        <f t="shared" si="4"/>
        <v>0</v>
      </c>
      <c r="T48" s="102">
        <f t="shared" si="5"/>
        <v>7.8611202096299237E-3</v>
      </c>
      <c r="U48" s="101">
        <f t="shared" si="6"/>
        <v>0</v>
      </c>
      <c r="V48" s="101">
        <f t="shared" si="7"/>
        <v>24</v>
      </c>
      <c r="W48" s="95">
        <f>R48/R48</f>
        <v>1</v>
      </c>
    </row>
    <row r="49" spans="2:23" x14ac:dyDescent="0.25">
      <c r="B49" s="96" t="s">
        <v>62</v>
      </c>
      <c r="C49" s="97">
        <v>2065</v>
      </c>
      <c r="D49" s="97">
        <v>2789</v>
      </c>
      <c r="E49" s="97">
        <v>3008</v>
      </c>
      <c r="F49" s="97">
        <v>2663</v>
      </c>
      <c r="G49" s="97">
        <v>2935</v>
      </c>
      <c r="H49" s="97">
        <v>2717</v>
      </c>
      <c r="I49" s="98">
        <f t="shared" si="0"/>
        <v>-7.4275979557069882E-2</v>
      </c>
      <c r="J49" s="98">
        <f t="shared" si="1"/>
        <v>-2.5815704553603491E-2</v>
      </c>
      <c r="K49" s="97">
        <f t="shared" si="2"/>
        <v>-218</v>
      </c>
      <c r="L49" s="97">
        <f t="shared" si="3"/>
        <v>-72</v>
      </c>
      <c r="M49" s="98">
        <f>H49/H48</f>
        <v>0.87504025764895332</v>
      </c>
      <c r="N49" s="97">
        <v>2849</v>
      </c>
      <c r="O49" s="97">
        <v>2639</v>
      </c>
      <c r="P49" s="97">
        <v>2689</v>
      </c>
      <c r="Q49" s="97">
        <v>2689</v>
      </c>
      <c r="R49" s="97">
        <v>2689</v>
      </c>
      <c r="S49" s="98">
        <f t="shared" si="4"/>
        <v>0</v>
      </c>
      <c r="T49" s="98">
        <f t="shared" si="5"/>
        <v>-5.6160056160056149E-2</v>
      </c>
      <c r="U49" s="97">
        <f t="shared" si="6"/>
        <v>0</v>
      </c>
      <c r="V49" s="97">
        <f t="shared" si="7"/>
        <v>-160</v>
      </c>
      <c r="W49" s="98">
        <f>R49/R48</f>
        <v>0.87390315242118943</v>
      </c>
    </row>
    <row r="50" spans="2:23" x14ac:dyDescent="0.25">
      <c r="B50" s="99" t="s">
        <v>63</v>
      </c>
      <c r="C50" s="53">
        <v>1643</v>
      </c>
      <c r="D50" s="53">
        <v>2193</v>
      </c>
      <c r="E50" s="53">
        <v>2189</v>
      </c>
      <c r="F50" s="53">
        <v>2050</v>
      </c>
      <c r="G50" s="53">
        <v>2224</v>
      </c>
      <c r="H50" s="53">
        <v>2053</v>
      </c>
      <c r="I50" s="100">
        <f t="shared" si="0"/>
        <v>-7.6888489208633115E-2</v>
      </c>
      <c r="J50" s="100">
        <f t="shared" si="1"/>
        <v>-6.3839489284085782E-2</v>
      </c>
      <c r="K50" s="53">
        <f t="shared" si="2"/>
        <v>-171</v>
      </c>
      <c r="L50" s="53">
        <f t="shared" si="3"/>
        <v>-140</v>
      </c>
      <c r="M50" s="100">
        <f>H50/H48</f>
        <v>0.66119162640901774</v>
      </c>
      <c r="N50" s="53">
        <v>2053</v>
      </c>
      <c r="O50" s="53">
        <v>2053</v>
      </c>
      <c r="P50" s="53">
        <v>2053</v>
      </c>
      <c r="Q50" s="53">
        <v>2053</v>
      </c>
      <c r="R50" s="53">
        <v>2053</v>
      </c>
      <c r="S50" s="100">
        <f t="shared" si="4"/>
        <v>0</v>
      </c>
      <c r="T50" s="100">
        <f t="shared" si="5"/>
        <v>0</v>
      </c>
      <c r="U50" s="53">
        <f t="shared" si="6"/>
        <v>0</v>
      </c>
      <c r="V50" s="53">
        <f t="shared" si="7"/>
        <v>0</v>
      </c>
      <c r="W50" s="100">
        <f>R50/R48</f>
        <v>0.66720831979200523</v>
      </c>
    </row>
    <row r="51" spans="2:23" x14ac:dyDescent="0.25">
      <c r="B51" s="99" t="s">
        <v>64</v>
      </c>
      <c r="C51" s="53">
        <v>422</v>
      </c>
      <c r="D51" s="53">
        <v>596</v>
      </c>
      <c r="E51" s="53">
        <v>819</v>
      </c>
      <c r="F51" s="53">
        <v>613</v>
      </c>
      <c r="G51" s="53">
        <v>711</v>
      </c>
      <c r="H51" s="53">
        <v>664</v>
      </c>
      <c r="I51" s="100">
        <f t="shared" si="0"/>
        <v>-6.6104078762306617E-2</v>
      </c>
      <c r="J51" s="100">
        <f t="shared" si="1"/>
        <v>0.11409395973154357</v>
      </c>
      <c r="K51" s="53">
        <f t="shared" si="2"/>
        <v>-47</v>
      </c>
      <c r="L51" s="53">
        <f t="shared" si="3"/>
        <v>68</v>
      </c>
      <c r="M51" s="100">
        <f>H51/H48</f>
        <v>0.21384863123993558</v>
      </c>
      <c r="N51" s="53">
        <v>796</v>
      </c>
      <c r="O51" s="53">
        <v>586</v>
      </c>
      <c r="P51" s="53">
        <v>636</v>
      </c>
      <c r="Q51" s="53">
        <v>636</v>
      </c>
      <c r="R51" s="53">
        <v>636</v>
      </c>
      <c r="S51" s="100">
        <f t="shared" si="4"/>
        <v>0</v>
      </c>
      <c r="T51" s="100">
        <f t="shared" si="5"/>
        <v>-0.20100502512562812</v>
      </c>
      <c r="U51" s="53">
        <f t="shared" si="6"/>
        <v>0</v>
      </c>
      <c r="V51" s="53">
        <f t="shared" si="7"/>
        <v>-160</v>
      </c>
      <c r="W51" s="100">
        <f>R51/R48</f>
        <v>0.20669483262918428</v>
      </c>
    </row>
    <row r="52" spans="2:23" x14ac:dyDescent="0.25">
      <c r="B52" s="96" t="s">
        <v>65</v>
      </c>
      <c r="C52" s="97">
        <v>460</v>
      </c>
      <c r="D52" s="97">
        <v>774</v>
      </c>
      <c r="E52" s="97">
        <v>904</v>
      </c>
      <c r="F52" s="97">
        <v>1110</v>
      </c>
      <c r="G52" s="97">
        <v>1086</v>
      </c>
      <c r="H52" s="97">
        <v>1088</v>
      </c>
      <c r="I52" s="98">
        <f t="shared" si="0"/>
        <v>1.8416206261511192E-3</v>
      </c>
      <c r="J52" s="98">
        <f t="shared" si="1"/>
        <v>0.40568475452196373</v>
      </c>
      <c r="K52" s="97">
        <f t="shared" si="2"/>
        <v>2</v>
      </c>
      <c r="L52" s="97">
        <f t="shared" si="3"/>
        <v>314</v>
      </c>
      <c r="M52" s="98">
        <f>H52/H48</f>
        <v>0.35040257648953299</v>
      </c>
      <c r="N52" s="97">
        <v>904</v>
      </c>
      <c r="O52" s="97">
        <v>1114</v>
      </c>
      <c r="P52" s="97">
        <v>1088</v>
      </c>
      <c r="Q52" s="97">
        <v>1088</v>
      </c>
      <c r="R52" s="97">
        <v>1088</v>
      </c>
      <c r="S52" s="98">
        <f t="shared" si="4"/>
        <v>0</v>
      </c>
      <c r="T52" s="98">
        <f t="shared" si="5"/>
        <v>0.20353982300884965</v>
      </c>
      <c r="U52" s="97">
        <f t="shared" si="6"/>
        <v>0</v>
      </c>
      <c r="V52" s="97">
        <f t="shared" si="7"/>
        <v>184</v>
      </c>
      <c r="W52" s="98">
        <f>R52/R48</f>
        <v>0.35359116022099446</v>
      </c>
    </row>
    <row r="53" spans="2:23" ht="6.95" customHeight="1" x14ac:dyDescent="0.25">
      <c r="B53" s="103"/>
      <c r="C53" s="104"/>
      <c r="D53" s="104"/>
      <c r="E53" s="104"/>
      <c r="F53" s="104"/>
      <c r="G53" s="105"/>
      <c r="H53" s="104"/>
      <c r="I53" s="106"/>
      <c r="J53" s="106"/>
      <c r="K53" s="104"/>
      <c r="L53" s="106"/>
      <c r="M53" s="106"/>
      <c r="N53" s="104"/>
      <c r="O53" s="104"/>
      <c r="P53" s="104"/>
      <c r="Q53" s="104"/>
      <c r="R53" s="106"/>
      <c r="S53" s="106"/>
      <c r="T53" s="106"/>
      <c r="U53" s="106"/>
      <c r="V53" s="106"/>
    </row>
    <row r="54" spans="2:23" ht="15" customHeight="1" x14ac:dyDescent="0.25">
      <c r="B54" s="107" t="s">
        <v>57</v>
      </c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  <c r="S54" s="107"/>
      <c r="T54" s="107"/>
      <c r="U54" s="107"/>
      <c r="V54" s="107"/>
    </row>
  </sheetData>
  <mergeCells count="2">
    <mergeCell ref="C5:H5"/>
    <mergeCell ref="N5:R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41F731-B3C7-4955-9DFF-9530564206B4}">
  <sheetPr>
    <tabColor rgb="FF92D050"/>
  </sheetPr>
  <dimension ref="A1:S55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5.7109375" customWidth="1"/>
    <col min="3" max="8" width="9.85546875" customWidth="1"/>
    <col min="9" max="9" width="10.7109375" customWidth="1"/>
    <col min="10" max="10" width="9.28515625" customWidth="1"/>
    <col min="11" max="11" width="12.28515625" customWidth="1"/>
    <col min="12" max="16" width="11.5703125" customWidth="1"/>
    <col min="17" max="17" width="10.7109375" customWidth="1"/>
    <col min="18" max="18" width="9.85546875" customWidth="1"/>
    <col min="20" max="20" width="14.42578125" customWidth="1"/>
    <col min="21" max="22" width="7.85546875" customWidth="1"/>
    <col min="23" max="23" width="8.140625" customWidth="1"/>
    <col min="24" max="24" width="9" customWidth="1"/>
    <col min="25" max="26" width="9.42578125" customWidth="1"/>
  </cols>
  <sheetData>
    <row r="1" spans="1:19" ht="42.75" customHeight="1" x14ac:dyDescent="0.25"/>
    <row r="3" spans="1:19" ht="30.75" customHeight="1" thickBot="1" x14ac:dyDescent="0.3">
      <c r="B3" s="84" t="str">
        <f>CONCATENATE("Establecimientos alojativos en funcionamiento en Tenerife y municipios")</f>
        <v>Establecimientos alojativos en funcionamiento en Tenerife y municipios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19" ht="6.95" customHeight="1" x14ac:dyDescent="0.25">
      <c r="B4" s="85"/>
      <c r="C4" s="85"/>
      <c r="D4" s="85"/>
      <c r="E4" s="85"/>
      <c r="F4" s="85"/>
      <c r="G4" s="85"/>
      <c r="H4" s="85"/>
      <c r="I4" s="86"/>
      <c r="J4" s="85"/>
      <c r="K4" s="85"/>
      <c r="L4" s="85"/>
      <c r="M4" s="85"/>
      <c r="N4" s="85"/>
      <c r="O4" s="85"/>
      <c r="P4" s="86"/>
      <c r="Q4" s="86"/>
      <c r="R4" s="86"/>
      <c r="S4" s="86"/>
    </row>
    <row r="5" spans="1:19" ht="15.75" thickBot="1" x14ac:dyDescent="0.3">
      <c r="B5" s="87"/>
      <c r="C5" s="296" t="s">
        <v>66</v>
      </c>
      <c r="D5" s="296"/>
      <c r="E5" s="296"/>
      <c r="F5" s="296"/>
      <c r="G5" s="296"/>
      <c r="H5" s="296"/>
      <c r="I5" s="88"/>
      <c r="J5" s="88"/>
      <c r="K5" s="89"/>
      <c r="L5" s="297" t="s">
        <v>67</v>
      </c>
      <c r="M5" s="297"/>
      <c r="N5" s="297"/>
      <c r="O5" s="297"/>
      <c r="P5" s="297"/>
      <c r="Q5" s="88"/>
      <c r="R5" s="88"/>
      <c r="S5" s="89"/>
    </row>
    <row r="6" spans="1:19" ht="59.25" customHeight="1" x14ac:dyDescent="0.25">
      <c r="B6" s="90"/>
      <c r="C6" s="14">
        <v>2020</v>
      </c>
      <c r="D6" s="14">
        <v>2021</v>
      </c>
      <c r="E6" s="14">
        <v>2022</v>
      </c>
      <c r="F6" s="14">
        <v>2023</v>
      </c>
      <c r="G6" s="14">
        <v>2024</v>
      </c>
      <c r="H6" s="14">
        <v>2025</v>
      </c>
      <c r="I6" s="91" t="str">
        <f>CONCATENATE("var. ",RIGHT(H6,2),"/",RIGHT(G6,2))</f>
        <v>var. 25/24</v>
      </c>
      <c r="J6" s="91" t="str">
        <f>CONCATENATE("dif. ",RIGHT(H6,2),"/",RIGHT(G6,2))</f>
        <v>dif. 25/24</v>
      </c>
      <c r="K6" s="14" t="str">
        <f>CONCATENATE("cuota/ total isla ",RIGHT(H6,2))</f>
        <v>cuota/ total isla 25</v>
      </c>
      <c r="L6" s="92" t="s">
        <v>234</v>
      </c>
      <c r="M6" s="92" t="s">
        <v>235</v>
      </c>
      <c r="N6" s="92" t="s">
        <v>236</v>
      </c>
      <c r="O6" s="92" t="s">
        <v>237</v>
      </c>
      <c r="P6" s="92" t="s">
        <v>238</v>
      </c>
      <c r="Q6" s="91" t="str">
        <f>CONCATENATE("var. ",RIGHT(P6,2),"/",RIGHT(O6,2))</f>
        <v>var. 26/25</v>
      </c>
      <c r="R6" s="91" t="str">
        <f>CONCATENATE("dif. ",RIGHT(P6,2),"/",RIGHT(O6,2))</f>
        <v>dif. 26/25</v>
      </c>
      <c r="S6" s="89" t="str">
        <f>CONCATENATE("cuota/ total isla ",RIGHT(P6,2))</f>
        <v>cuota/ total isla 26</v>
      </c>
    </row>
    <row r="7" spans="1:19" x14ac:dyDescent="0.25">
      <c r="B7" s="93" t="s">
        <v>45</v>
      </c>
      <c r="C7" s="94">
        <v>173</v>
      </c>
      <c r="D7" s="94">
        <v>195</v>
      </c>
      <c r="E7" s="94">
        <v>293</v>
      </c>
      <c r="F7" s="94">
        <v>308</v>
      </c>
      <c r="G7" s="94">
        <v>339</v>
      </c>
      <c r="H7" s="94">
        <v>324</v>
      </c>
      <c r="I7" s="95">
        <f>IFERROR(H7/G7-1,"-")</f>
        <v>-4.4247787610619427E-2</v>
      </c>
      <c r="J7" s="94">
        <f>IFERROR(H7-G7,"-")</f>
        <v>-15</v>
      </c>
      <c r="K7" s="95">
        <f>H7/H7</f>
        <v>1</v>
      </c>
      <c r="L7" s="94">
        <v>879</v>
      </c>
      <c r="M7" s="94">
        <v>903</v>
      </c>
      <c r="N7" s="94">
        <v>960</v>
      </c>
      <c r="O7" s="94">
        <v>963</v>
      </c>
      <c r="P7" s="94">
        <v>978</v>
      </c>
      <c r="Q7" s="95">
        <f t="shared" ref="Q7:Q52" si="0">IFERROR(P7/O7-1,"-")</f>
        <v>1.5576323987538832E-2</v>
      </c>
      <c r="R7" s="94">
        <f t="shared" ref="R7:R52" si="1">IFERROR(P7-O7,"-")</f>
        <v>15</v>
      </c>
      <c r="S7" s="95">
        <f>P7/P7</f>
        <v>1</v>
      </c>
    </row>
    <row r="8" spans="1:19" x14ac:dyDescent="0.25">
      <c r="A8" s="1"/>
      <c r="B8" s="96" t="s">
        <v>62</v>
      </c>
      <c r="C8" s="97">
        <v>104</v>
      </c>
      <c r="D8" s="97">
        <v>124</v>
      </c>
      <c r="E8" s="97">
        <v>194</v>
      </c>
      <c r="F8" s="97">
        <v>199</v>
      </c>
      <c r="G8" s="97">
        <v>228</v>
      </c>
      <c r="H8" s="97">
        <v>211</v>
      </c>
      <c r="I8" s="98">
        <f t="shared" ref="I8:I52" si="2">IFERROR(H8/G8-1,"-")</f>
        <v>-7.456140350877194E-2</v>
      </c>
      <c r="J8" s="97">
        <f t="shared" ref="J8:J52" si="3">IFERROR(H8-G8,"-")</f>
        <v>-17</v>
      </c>
      <c r="K8" s="98">
        <f>H8/H7</f>
        <v>0.65123456790123457</v>
      </c>
      <c r="L8" s="97">
        <v>193</v>
      </c>
      <c r="M8" s="97">
        <v>193</v>
      </c>
      <c r="N8" s="97">
        <v>209</v>
      </c>
      <c r="O8" s="97">
        <v>208</v>
      </c>
      <c r="P8" s="97">
        <v>212</v>
      </c>
      <c r="Q8" s="98">
        <f t="shared" si="0"/>
        <v>1.9230769230769162E-2</v>
      </c>
      <c r="R8" s="97">
        <f t="shared" si="1"/>
        <v>4</v>
      </c>
      <c r="S8" s="98">
        <f>P8/P7</f>
        <v>0.21676891615541921</v>
      </c>
    </row>
    <row r="9" spans="1:19" x14ac:dyDescent="0.25">
      <c r="A9" s="108" t="s">
        <v>68</v>
      </c>
      <c r="B9" s="99" t="s">
        <v>63</v>
      </c>
      <c r="C9" s="53">
        <v>63</v>
      </c>
      <c r="D9" s="53">
        <v>84</v>
      </c>
      <c r="E9" s="53">
        <v>128</v>
      </c>
      <c r="F9" s="53">
        <v>131</v>
      </c>
      <c r="G9" s="53">
        <v>147</v>
      </c>
      <c r="H9" s="53">
        <v>137</v>
      </c>
      <c r="I9" s="100">
        <f t="shared" si="2"/>
        <v>-6.8027210884353706E-2</v>
      </c>
      <c r="J9" s="53">
        <f t="shared" si="3"/>
        <v>-10</v>
      </c>
      <c r="K9" s="100">
        <f>H9/H7</f>
        <v>0.4228395061728395</v>
      </c>
      <c r="L9" s="53">
        <v>129</v>
      </c>
      <c r="M9" s="53">
        <v>131</v>
      </c>
      <c r="N9" s="53">
        <v>136</v>
      </c>
      <c r="O9" s="53">
        <v>135</v>
      </c>
      <c r="P9" s="53">
        <v>143</v>
      </c>
      <c r="Q9" s="100">
        <f t="shared" si="0"/>
        <v>5.9259259259259345E-2</v>
      </c>
      <c r="R9" s="53">
        <f t="shared" si="1"/>
        <v>8</v>
      </c>
      <c r="S9" s="100">
        <f>P9/P7</f>
        <v>0.14621676891615543</v>
      </c>
    </row>
    <row r="10" spans="1:19" x14ac:dyDescent="0.25">
      <c r="A10" s="108" t="s">
        <v>69</v>
      </c>
      <c r="B10" s="99" t="s">
        <v>70</v>
      </c>
      <c r="C10" s="53">
        <v>41</v>
      </c>
      <c r="D10" s="53">
        <v>40</v>
      </c>
      <c r="E10" s="53">
        <v>65</v>
      </c>
      <c r="F10" s="53">
        <v>68</v>
      </c>
      <c r="G10" s="53">
        <v>81</v>
      </c>
      <c r="H10" s="53">
        <v>75</v>
      </c>
      <c r="I10" s="100">
        <f t="shared" si="2"/>
        <v>-7.407407407407407E-2</v>
      </c>
      <c r="J10" s="53">
        <f t="shared" si="3"/>
        <v>-6</v>
      </c>
      <c r="K10" s="100">
        <f>H10/H7</f>
        <v>0.23148148148148148</v>
      </c>
      <c r="L10" s="53">
        <v>64</v>
      </c>
      <c r="M10" s="53">
        <v>62</v>
      </c>
      <c r="N10" s="53">
        <v>73</v>
      </c>
      <c r="O10" s="53">
        <v>73</v>
      </c>
      <c r="P10" s="53">
        <v>69</v>
      </c>
      <c r="Q10" s="100">
        <f t="shared" si="0"/>
        <v>-5.4794520547945202E-2</v>
      </c>
      <c r="R10" s="53">
        <f t="shared" si="1"/>
        <v>-4</v>
      </c>
      <c r="S10" s="100">
        <f>P10/P7</f>
        <v>7.0552147239263799E-2</v>
      </c>
    </row>
    <row r="11" spans="1:19" x14ac:dyDescent="0.25">
      <c r="A11" s="1"/>
      <c r="B11" s="96" t="s">
        <v>65</v>
      </c>
      <c r="C11" s="97">
        <v>70</v>
      </c>
      <c r="D11" s="97">
        <v>71</v>
      </c>
      <c r="E11" s="97">
        <v>100</v>
      </c>
      <c r="F11" s="97">
        <v>109</v>
      </c>
      <c r="G11" s="97">
        <v>111</v>
      </c>
      <c r="H11" s="97">
        <v>113</v>
      </c>
      <c r="I11" s="98">
        <f t="shared" si="2"/>
        <v>1.8018018018018056E-2</v>
      </c>
      <c r="J11" s="97">
        <f t="shared" si="3"/>
        <v>2</v>
      </c>
      <c r="K11" s="98">
        <f>H11/H7</f>
        <v>0.34876543209876543</v>
      </c>
      <c r="L11" s="97">
        <v>100</v>
      </c>
      <c r="M11" s="97">
        <v>108</v>
      </c>
      <c r="N11" s="97">
        <v>111</v>
      </c>
      <c r="O11" s="97">
        <v>113</v>
      </c>
      <c r="P11" s="97">
        <v>114</v>
      </c>
      <c r="Q11" s="98">
        <f t="shared" si="0"/>
        <v>8.8495575221239076E-3</v>
      </c>
      <c r="R11" s="97">
        <f t="shared" si="1"/>
        <v>1</v>
      </c>
      <c r="S11" s="98">
        <f>P11/P7</f>
        <v>0.1165644171779141</v>
      </c>
    </row>
    <row r="12" spans="1:19" x14ac:dyDescent="0.25">
      <c r="A12" s="1"/>
      <c r="B12" s="93" t="s">
        <v>46</v>
      </c>
      <c r="C12" s="101">
        <v>49</v>
      </c>
      <c r="D12" s="101">
        <v>57</v>
      </c>
      <c r="E12" s="101">
        <v>84</v>
      </c>
      <c r="F12" s="101">
        <v>90</v>
      </c>
      <c r="G12" s="101">
        <v>99</v>
      </c>
      <c r="H12" s="101">
        <v>93</v>
      </c>
      <c r="I12" s="102">
        <f t="shared" si="2"/>
        <v>-6.0606060606060552E-2</v>
      </c>
      <c r="J12" s="101">
        <f t="shared" si="3"/>
        <v>-6</v>
      </c>
      <c r="K12" s="95">
        <f>H12/H12</f>
        <v>1</v>
      </c>
      <c r="L12" s="101">
        <v>84</v>
      </c>
      <c r="M12" s="101">
        <v>88</v>
      </c>
      <c r="N12" s="101">
        <v>94</v>
      </c>
      <c r="O12" s="101">
        <v>91</v>
      </c>
      <c r="P12" s="101">
        <v>95</v>
      </c>
      <c r="Q12" s="102">
        <f t="shared" si="0"/>
        <v>4.3956043956044022E-2</v>
      </c>
      <c r="R12" s="101">
        <f t="shared" si="1"/>
        <v>4</v>
      </c>
      <c r="S12" s="95">
        <f>P12/P12</f>
        <v>1</v>
      </c>
    </row>
    <row r="13" spans="1:19" ht="15" customHeight="1" x14ac:dyDescent="0.25">
      <c r="A13" s="1"/>
      <c r="B13" s="96" t="s">
        <v>62</v>
      </c>
      <c r="C13" s="97">
        <v>31</v>
      </c>
      <c r="D13" s="97">
        <v>40</v>
      </c>
      <c r="E13" s="97">
        <v>60</v>
      </c>
      <c r="F13" s="97">
        <v>62</v>
      </c>
      <c r="G13" s="97">
        <v>68</v>
      </c>
      <c r="H13" s="97">
        <v>61</v>
      </c>
      <c r="I13" s="98">
        <f t="shared" si="2"/>
        <v>-0.1029411764705882</v>
      </c>
      <c r="J13" s="97">
        <f t="shared" si="3"/>
        <v>-7</v>
      </c>
      <c r="K13" s="98">
        <f>H13/H12</f>
        <v>0.65591397849462363</v>
      </c>
      <c r="L13" s="97">
        <v>60</v>
      </c>
      <c r="M13" s="97">
        <v>60</v>
      </c>
      <c r="N13" s="97">
        <v>62</v>
      </c>
      <c r="O13" s="97">
        <v>59</v>
      </c>
      <c r="P13" s="97">
        <v>62</v>
      </c>
      <c r="Q13" s="98">
        <f t="shared" si="0"/>
        <v>5.0847457627118731E-2</v>
      </c>
      <c r="R13" s="97">
        <f t="shared" si="1"/>
        <v>3</v>
      </c>
      <c r="S13" s="98">
        <f>P13/P12</f>
        <v>0.65263157894736845</v>
      </c>
    </row>
    <row r="14" spans="1:19" x14ac:dyDescent="0.25">
      <c r="A14" s="108" t="s">
        <v>68</v>
      </c>
      <c r="B14" s="99" t="s">
        <v>63</v>
      </c>
      <c r="C14" s="53">
        <v>25</v>
      </c>
      <c r="D14" s="53">
        <v>33</v>
      </c>
      <c r="E14" s="53">
        <v>48</v>
      </c>
      <c r="F14" s="53">
        <v>50</v>
      </c>
      <c r="G14" s="53">
        <v>56</v>
      </c>
      <c r="H14" s="53">
        <v>50</v>
      </c>
      <c r="I14" s="100">
        <f t="shared" si="2"/>
        <v>-0.1071428571428571</v>
      </c>
      <c r="J14" s="53">
        <f t="shared" si="3"/>
        <v>-6</v>
      </c>
      <c r="K14" s="100">
        <f>H14/H12</f>
        <v>0.5376344086021505</v>
      </c>
      <c r="L14" s="53">
        <v>48</v>
      </c>
      <c r="M14" s="53">
        <v>49</v>
      </c>
      <c r="N14" s="53">
        <v>51</v>
      </c>
      <c r="O14" s="53">
        <v>48</v>
      </c>
      <c r="P14" s="53">
        <v>52</v>
      </c>
      <c r="Q14" s="100">
        <f t="shared" si="0"/>
        <v>8.3333333333333259E-2</v>
      </c>
      <c r="R14" s="53">
        <f t="shared" si="1"/>
        <v>4</v>
      </c>
      <c r="S14" s="100">
        <f>P14/P12</f>
        <v>0.54736842105263162</v>
      </c>
    </row>
    <row r="15" spans="1:19" x14ac:dyDescent="0.25">
      <c r="A15" s="108" t="s">
        <v>69</v>
      </c>
      <c r="B15" s="99" t="s">
        <v>70</v>
      </c>
      <c r="C15" s="53">
        <v>6</v>
      </c>
      <c r="D15" s="53">
        <v>7</v>
      </c>
      <c r="E15" s="53">
        <v>12</v>
      </c>
      <c r="F15" s="53">
        <v>11</v>
      </c>
      <c r="G15" s="53">
        <v>12</v>
      </c>
      <c r="H15" s="53">
        <v>11</v>
      </c>
      <c r="I15" s="100">
        <f t="shared" si="2"/>
        <v>-8.333333333333337E-2</v>
      </c>
      <c r="J15" s="53">
        <f t="shared" si="3"/>
        <v>-1</v>
      </c>
      <c r="K15" s="100">
        <f>H15/H12</f>
        <v>0.11827956989247312</v>
      </c>
      <c r="L15" s="53">
        <v>12</v>
      </c>
      <c r="M15" s="53">
        <v>11</v>
      </c>
      <c r="N15" s="53">
        <v>11</v>
      </c>
      <c r="O15" s="53">
        <v>11</v>
      </c>
      <c r="P15" s="53">
        <v>10</v>
      </c>
      <c r="Q15" s="100">
        <f t="shared" si="0"/>
        <v>-9.0909090909090939E-2</v>
      </c>
      <c r="R15" s="53">
        <f t="shared" si="1"/>
        <v>-1</v>
      </c>
      <c r="S15" s="100">
        <f>P15/P12</f>
        <v>0.10526315789473684</v>
      </c>
    </row>
    <row r="16" spans="1:19" x14ac:dyDescent="0.25">
      <c r="A16" s="1"/>
      <c r="B16" s="96" t="s">
        <v>65</v>
      </c>
      <c r="C16" s="97">
        <v>18</v>
      </c>
      <c r="D16" s="97">
        <v>17</v>
      </c>
      <c r="E16" s="97">
        <v>24</v>
      </c>
      <c r="F16" s="97">
        <v>29</v>
      </c>
      <c r="G16" s="97">
        <v>31</v>
      </c>
      <c r="H16" s="97">
        <v>32</v>
      </c>
      <c r="I16" s="98">
        <f t="shared" si="2"/>
        <v>3.2258064516129004E-2</v>
      </c>
      <c r="J16" s="97">
        <f t="shared" si="3"/>
        <v>1</v>
      </c>
      <c r="K16" s="98">
        <f>H16/H12</f>
        <v>0.34408602150537637</v>
      </c>
      <c r="L16" s="97">
        <v>24</v>
      </c>
      <c r="M16" s="97">
        <v>28</v>
      </c>
      <c r="N16" s="97">
        <v>32</v>
      </c>
      <c r="O16" s="97">
        <v>32</v>
      </c>
      <c r="P16" s="97">
        <v>33</v>
      </c>
      <c r="Q16" s="98">
        <f t="shared" si="0"/>
        <v>3.125E-2</v>
      </c>
      <c r="R16" s="97">
        <f t="shared" si="1"/>
        <v>1</v>
      </c>
      <c r="S16" s="98">
        <f>P16/P12</f>
        <v>0.3473684210526316</v>
      </c>
    </row>
    <row r="17" spans="1:19" x14ac:dyDescent="0.25">
      <c r="A17" s="1"/>
      <c r="B17" s="93" t="s">
        <v>53</v>
      </c>
      <c r="C17" s="101">
        <v>11</v>
      </c>
      <c r="D17" s="101">
        <v>12</v>
      </c>
      <c r="E17" s="101">
        <v>17</v>
      </c>
      <c r="F17" s="101">
        <v>19</v>
      </c>
      <c r="G17" s="101">
        <v>21</v>
      </c>
      <c r="H17" s="101">
        <v>20</v>
      </c>
      <c r="I17" s="102">
        <f t="shared" si="2"/>
        <v>-4.7619047619047672E-2</v>
      </c>
      <c r="J17" s="101">
        <f t="shared" si="3"/>
        <v>-1</v>
      </c>
      <c r="K17" s="95">
        <f>H17/H17</f>
        <v>1</v>
      </c>
      <c r="L17" s="101">
        <v>16</v>
      </c>
      <c r="M17" s="101">
        <v>17</v>
      </c>
      <c r="N17" s="101">
        <v>20</v>
      </c>
      <c r="O17" s="101">
        <v>20</v>
      </c>
      <c r="P17" s="101">
        <v>19</v>
      </c>
      <c r="Q17" s="102">
        <f t="shared" si="0"/>
        <v>-5.0000000000000044E-2</v>
      </c>
      <c r="R17" s="101">
        <f t="shared" si="1"/>
        <v>-1</v>
      </c>
      <c r="S17" s="95">
        <f>P17/P17</f>
        <v>1</v>
      </c>
    </row>
    <row r="18" spans="1:19" x14ac:dyDescent="0.25">
      <c r="A18" s="1"/>
      <c r="B18" s="96" t="s">
        <v>62</v>
      </c>
      <c r="C18" s="97">
        <v>11</v>
      </c>
      <c r="D18" s="97">
        <v>12</v>
      </c>
      <c r="E18" s="97">
        <v>17</v>
      </c>
      <c r="F18" s="97">
        <v>19</v>
      </c>
      <c r="G18" s="97">
        <v>21</v>
      </c>
      <c r="H18" s="97">
        <v>20</v>
      </c>
      <c r="I18" s="98">
        <f t="shared" si="2"/>
        <v>-4.7619047619047672E-2</v>
      </c>
      <c r="J18" s="97">
        <f t="shared" si="3"/>
        <v>-1</v>
      </c>
      <c r="K18" s="98">
        <f>H18/H17</f>
        <v>1</v>
      </c>
      <c r="L18" s="97">
        <v>16</v>
      </c>
      <c r="M18" s="97">
        <v>17</v>
      </c>
      <c r="N18" s="97">
        <v>20</v>
      </c>
      <c r="O18" s="97">
        <v>20</v>
      </c>
      <c r="P18" s="97">
        <v>19</v>
      </c>
      <c r="Q18" s="98">
        <f t="shared" si="0"/>
        <v>-5.0000000000000044E-2</v>
      </c>
      <c r="R18" s="97">
        <f t="shared" si="1"/>
        <v>-1</v>
      </c>
      <c r="S18" s="98">
        <f>P18/P17</f>
        <v>1</v>
      </c>
    </row>
    <row r="19" spans="1:19" x14ac:dyDescent="0.25">
      <c r="A19" s="108" t="s">
        <v>68</v>
      </c>
      <c r="B19" s="99" t="s">
        <v>63</v>
      </c>
      <c r="C19" s="53">
        <v>4</v>
      </c>
      <c r="D19" s="53">
        <v>7</v>
      </c>
      <c r="E19" s="53">
        <v>7</v>
      </c>
      <c r="F19" s="53">
        <v>7</v>
      </c>
      <c r="G19" s="53">
        <v>8</v>
      </c>
      <c r="H19" s="53">
        <v>8</v>
      </c>
      <c r="I19" s="100">
        <f t="shared" si="2"/>
        <v>0</v>
      </c>
      <c r="J19" s="53">
        <f t="shared" si="3"/>
        <v>0</v>
      </c>
      <c r="K19" s="100">
        <f>H19/H17</f>
        <v>0.4</v>
      </c>
      <c r="L19" s="53">
        <v>7</v>
      </c>
      <c r="M19" s="53">
        <v>7</v>
      </c>
      <c r="N19" s="53">
        <v>7</v>
      </c>
      <c r="O19" s="53">
        <v>8</v>
      </c>
      <c r="P19" s="53">
        <v>9</v>
      </c>
      <c r="Q19" s="100">
        <f t="shared" si="0"/>
        <v>0.125</v>
      </c>
      <c r="R19" s="53">
        <f t="shared" si="1"/>
        <v>1</v>
      </c>
      <c r="S19" s="100">
        <f>P19/P17</f>
        <v>0.47368421052631576</v>
      </c>
    </row>
    <row r="20" spans="1:19" x14ac:dyDescent="0.25">
      <c r="A20" s="108" t="s">
        <v>69</v>
      </c>
      <c r="B20" s="99" t="s">
        <v>70</v>
      </c>
      <c r="C20" s="53">
        <v>7</v>
      </c>
      <c r="D20" s="53">
        <v>6</v>
      </c>
      <c r="E20" s="53">
        <v>10</v>
      </c>
      <c r="F20" s="53">
        <v>12</v>
      </c>
      <c r="G20" s="53">
        <v>14</v>
      </c>
      <c r="H20" s="53">
        <v>12</v>
      </c>
      <c r="I20" s="100">
        <f t="shared" si="2"/>
        <v>-0.1428571428571429</v>
      </c>
      <c r="J20" s="53">
        <f t="shared" si="3"/>
        <v>-2</v>
      </c>
      <c r="K20" s="100">
        <f>H20/H17</f>
        <v>0.6</v>
      </c>
      <c r="L20" s="53">
        <v>9</v>
      </c>
      <c r="M20" s="53">
        <v>10</v>
      </c>
      <c r="N20" s="53">
        <v>13</v>
      </c>
      <c r="O20" s="53">
        <v>12</v>
      </c>
      <c r="P20" s="53">
        <v>10</v>
      </c>
      <c r="Q20" s="100">
        <f t="shared" si="0"/>
        <v>-0.16666666666666663</v>
      </c>
      <c r="R20" s="53">
        <f t="shared" si="1"/>
        <v>-2</v>
      </c>
      <c r="S20" s="100">
        <f>P20/P17</f>
        <v>0.52631578947368418</v>
      </c>
    </row>
    <row r="21" spans="1:19" x14ac:dyDescent="0.25">
      <c r="A21" s="1"/>
      <c r="B21" s="96" t="s">
        <v>65</v>
      </c>
      <c r="C21" s="97">
        <v>0</v>
      </c>
      <c r="D21" s="97">
        <v>0</v>
      </c>
      <c r="E21" s="97">
        <v>0</v>
      </c>
      <c r="F21" s="97">
        <v>0</v>
      </c>
      <c r="G21" s="97">
        <v>0</v>
      </c>
      <c r="H21" s="97">
        <v>0</v>
      </c>
      <c r="I21" s="98" t="str">
        <f t="shared" si="2"/>
        <v>-</v>
      </c>
      <c r="J21" s="97">
        <f t="shared" si="3"/>
        <v>0</v>
      </c>
      <c r="K21" s="98">
        <f>H21/H17</f>
        <v>0</v>
      </c>
      <c r="L21" s="97" t="s">
        <v>239</v>
      </c>
      <c r="M21" s="97" t="s">
        <v>239</v>
      </c>
      <c r="N21" s="97" t="s">
        <v>239</v>
      </c>
      <c r="O21" s="97" t="s">
        <v>239</v>
      </c>
      <c r="P21" s="97" t="s">
        <v>239</v>
      </c>
      <c r="Q21" s="98" t="str">
        <f t="shared" si="0"/>
        <v>-</v>
      </c>
      <c r="R21" s="97" t="str">
        <f t="shared" si="1"/>
        <v>-</v>
      </c>
      <c r="S21" s="98" t="e">
        <f>P21/P17</f>
        <v>#VALUE!</v>
      </c>
    </row>
    <row r="22" spans="1:19" x14ac:dyDescent="0.25">
      <c r="A22" s="1"/>
      <c r="B22" s="93" t="s">
        <v>48</v>
      </c>
      <c r="C22" s="101">
        <v>4</v>
      </c>
      <c r="D22" s="101">
        <v>4</v>
      </c>
      <c r="E22" s="101">
        <v>5</v>
      </c>
      <c r="F22" s="101">
        <v>7</v>
      </c>
      <c r="G22" s="101">
        <v>8</v>
      </c>
      <c r="H22" s="101">
        <v>8</v>
      </c>
      <c r="I22" s="102">
        <f t="shared" si="2"/>
        <v>0</v>
      </c>
      <c r="J22" s="101">
        <f t="shared" si="3"/>
        <v>0</v>
      </c>
      <c r="K22" s="102">
        <f>H22/H22</f>
        <v>1</v>
      </c>
      <c r="L22" s="101">
        <v>5</v>
      </c>
      <c r="M22" s="101">
        <v>6</v>
      </c>
      <c r="N22" s="101">
        <v>7</v>
      </c>
      <c r="O22" s="101">
        <v>8</v>
      </c>
      <c r="P22" s="101">
        <v>8</v>
      </c>
      <c r="Q22" s="102">
        <f t="shared" si="0"/>
        <v>0</v>
      </c>
      <c r="R22" s="101">
        <f t="shared" si="1"/>
        <v>0</v>
      </c>
      <c r="S22" s="102">
        <f>P22/P22</f>
        <v>1</v>
      </c>
    </row>
    <row r="23" spans="1:19" x14ac:dyDescent="0.25">
      <c r="A23" s="1"/>
      <c r="B23" s="96" t="s">
        <v>62</v>
      </c>
      <c r="C23" s="97">
        <v>3</v>
      </c>
      <c r="D23" s="97">
        <v>4</v>
      </c>
      <c r="E23" s="97">
        <v>5</v>
      </c>
      <c r="F23" s="97">
        <v>6</v>
      </c>
      <c r="G23" s="97">
        <v>6</v>
      </c>
      <c r="H23" s="97">
        <v>6</v>
      </c>
      <c r="I23" s="98">
        <f t="shared" si="2"/>
        <v>0</v>
      </c>
      <c r="J23" s="97">
        <f t="shared" si="3"/>
        <v>0</v>
      </c>
      <c r="K23" s="98">
        <f>H23/H22</f>
        <v>0.75</v>
      </c>
      <c r="L23" s="97">
        <v>5</v>
      </c>
      <c r="M23" s="97">
        <v>5</v>
      </c>
      <c r="N23" s="97">
        <v>6</v>
      </c>
      <c r="O23" s="97">
        <v>6</v>
      </c>
      <c r="P23" s="97">
        <v>6</v>
      </c>
      <c r="Q23" s="98">
        <f t="shared" si="0"/>
        <v>0</v>
      </c>
      <c r="R23" s="97">
        <f t="shared" si="1"/>
        <v>0</v>
      </c>
      <c r="S23" s="98">
        <f>P23/P22</f>
        <v>0.75</v>
      </c>
    </row>
    <row r="24" spans="1:19" x14ac:dyDescent="0.25">
      <c r="A24" s="1"/>
      <c r="B24" s="96" t="s">
        <v>65</v>
      </c>
      <c r="C24" s="97">
        <v>0</v>
      </c>
      <c r="D24" s="97">
        <v>0</v>
      </c>
      <c r="E24" s="97">
        <v>0</v>
      </c>
      <c r="F24" s="97">
        <v>0</v>
      </c>
      <c r="G24" s="97">
        <v>0</v>
      </c>
      <c r="H24" s="97">
        <v>0</v>
      </c>
      <c r="I24" s="98" t="str">
        <f t="shared" si="2"/>
        <v>-</v>
      </c>
      <c r="J24" s="97">
        <f t="shared" si="3"/>
        <v>0</v>
      </c>
      <c r="K24" s="98">
        <f>H24/H22</f>
        <v>0</v>
      </c>
      <c r="L24" s="97">
        <v>0</v>
      </c>
      <c r="M24" s="97">
        <v>0</v>
      </c>
      <c r="N24" s="97">
        <v>0</v>
      </c>
      <c r="O24" s="97">
        <v>0</v>
      </c>
      <c r="P24" s="97">
        <v>0</v>
      </c>
      <c r="Q24" s="98" t="str">
        <f t="shared" si="0"/>
        <v>-</v>
      </c>
      <c r="R24" s="97">
        <f t="shared" si="1"/>
        <v>0</v>
      </c>
      <c r="S24" s="98">
        <f>P24/P22</f>
        <v>0</v>
      </c>
    </row>
    <row r="25" spans="1:19" x14ac:dyDescent="0.25">
      <c r="A25" s="1"/>
      <c r="B25" s="93" t="s">
        <v>49</v>
      </c>
      <c r="C25" s="101">
        <v>3</v>
      </c>
      <c r="D25" s="101">
        <v>4</v>
      </c>
      <c r="E25" s="101">
        <v>5</v>
      </c>
      <c r="F25" s="101">
        <v>4</v>
      </c>
      <c r="G25" s="101">
        <v>6</v>
      </c>
      <c r="H25" s="101">
        <v>6</v>
      </c>
      <c r="I25" s="102">
        <f t="shared" si="2"/>
        <v>0</v>
      </c>
      <c r="J25" s="101">
        <f t="shared" si="3"/>
        <v>0</v>
      </c>
      <c r="K25" s="95">
        <f>H25/H25</f>
        <v>1</v>
      </c>
      <c r="L25" s="101">
        <v>5</v>
      </c>
      <c r="M25" s="101">
        <v>4</v>
      </c>
      <c r="N25" s="101">
        <v>5</v>
      </c>
      <c r="O25" s="101">
        <v>6</v>
      </c>
      <c r="P25" s="101">
        <v>6</v>
      </c>
      <c r="Q25" s="102">
        <f t="shared" si="0"/>
        <v>0</v>
      </c>
      <c r="R25" s="101">
        <f t="shared" si="1"/>
        <v>0</v>
      </c>
      <c r="S25" s="95">
        <f>P25/P25</f>
        <v>1</v>
      </c>
    </row>
    <row r="26" spans="1:19" x14ac:dyDescent="0.25">
      <c r="A26" s="1"/>
      <c r="B26" s="96" t="s">
        <v>62</v>
      </c>
      <c r="C26" s="97">
        <v>2</v>
      </c>
      <c r="D26" s="97">
        <v>3</v>
      </c>
      <c r="E26" s="97">
        <v>4</v>
      </c>
      <c r="F26" s="97">
        <v>3</v>
      </c>
      <c r="G26" s="97">
        <v>5</v>
      </c>
      <c r="H26" s="97">
        <v>5</v>
      </c>
      <c r="I26" s="98">
        <f t="shared" si="2"/>
        <v>0</v>
      </c>
      <c r="J26" s="97">
        <f t="shared" si="3"/>
        <v>0</v>
      </c>
      <c r="K26" s="98">
        <f>H26/H25</f>
        <v>0.83333333333333337</v>
      </c>
      <c r="L26" s="97">
        <v>4</v>
      </c>
      <c r="M26" s="97">
        <v>3</v>
      </c>
      <c r="N26" s="97">
        <v>4</v>
      </c>
      <c r="O26" s="97">
        <v>5</v>
      </c>
      <c r="P26" s="97">
        <v>5</v>
      </c>
      <c r="Q26" s="98">
        <f t="shared" si="0"/>
        <v>0</v>
      </c>
      <c r="R26" s="97">
        <f t="shared" si="1"/>
        <v>0</v>
      </c>
      <c r="S26" s="98">
        <f>P26/P25</f>
        <v>0.83333333333333337</v>
      </c>
    </row>
    <row r="27" spans="1:19" x14ac:dyDescent="0.25">
      <c r="A27" s="108" t="s">
        <v>68</v>
      </c>
      <c r="B27" s="99" t="s">
        <v>63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  <c r="H27" s="53">
        <v>0</v>
      </c>
      <c r="I27" s="100" t="str">
        <f t="shared" si="2"/>
        <v>-</v>
      </c>
      <c r="J27" s="53">
        <f t="shared" si="3"/>
        <v>0</v>
      </c>
      <c r="K27" s="100">
        <f>H27/H25</f>
        <v>0</v>
      </c>
      <c r="L27" s="53">
        <v>0</v>
      </c>
      <c r="M27" s="53">
        <v>3</v>
      </c>
      <c r="N27" s="53">
        <v>0</v>
      </c>
      <c r="O27" s="53">
        <v>0</v>
      </c>
      <c r="P27" s="53">
        <v>0</v>
      </c>
      <c r="Q27" s="100" t="str">
        <f t="shared" si="0"/>
        <v>-</v>
      </c>
      <c r="R27" s="53">
        <f t="shared" si="1"/>
        <v>0</v>
      </c>
      <c r="S27" s="100">
        <f>P27/P25</f>
        <v>0</v>
      </c>
    </row>
    <row r="28" spans="1:19" x14ac:dyDescent="0.25">
      <c r="A28" s="108" t="s">
        <v>69</v>
      </c>
      <c r="B28" s="99" t="s">
        <v>70</v>
      </c>
      <c r="C28" s="53">
        <v>0</v>
      </c>
      <c r="D28" s="53">
        <v>0</v>
      </c>
      <c r="E28" s="53">
        <v>0</v>
      </c>
      <c r="F28" s="53">
        <v>0</v>
      </c>
      <c r="G28" s="53">
        <v>0</v>
      </c>
      <c r="H28" s="53">
        <v>0</v>
      </c>
      <c r="I28" s="100" t="str">
        <f t="shared" si="2"/>
        <v>-</v>
      </c>
      <c r="J28" s="53">
        <f t="shared" si="3"/>
        <v>0</v>
      </c>
      <c r="K28" s="100">
        <f>H28/H25</f>
        <v>0</v>
      </c>
      <c r="L28" s="53">
        <v>0</v>
      </c>
      <c r="M28" s="53">
        <v>0</v>
      </c>
      <c r="N28" s="53">
        <v>0</v>
      </c>
      <c r="O28" s="53">
        <v>0</v>
      </c>
      <c r="P28" s="53">
        <v>0</v>
      </c>
      <c r="Q28" s="100" t="str">
        <f t="shared" si="0"/>
        <v>-</v>
      </c>
      <c r="R28" s="53">
        <f t="shared" si="1"/>
        <v>0</v>
      </c>
      <c r="S28" s="100">
        <f>P28/P25</f>
        <v>0</v>
      </c>
    </row>
    <row r="29" spans="1:19" x14ac:dyDescent="0.25">
      <c r="A29" s="1"/>
      <c r="B29" s="93" t="s">
        <v>50</v>
      </c>
      <c r="C29" s="101">
        <v>33</v>
      </c>
      <c r="D29" s="101">
        <v>37</v>
      </c>
      <c r="E29" s="101">
        <v>59</v>
      </c>
      <c r="F29" s="101">
        <v>62</v>
      </c>
      <c r="G29" s="101">
        <v>68</v>
      </c>
      <c r="H29" s="101">
        <v>65</v>
      </c>
      <c r="I29" s="102">
        <f t="shared" si="2"/>
        <v>-4.4117647058823484E-2</v>
      </c>
      <c r="J29" s="101">
        <f t="shared" si="3"/>
        <v>-3</v>
      </c>
      <c r="K29" s="95">
        <f>H29/H29</f>
        <v>1</v>
      </c>
      <c r="L29" s="101">
        <v>60</v>
      </c>
      <c r="M29" s="101">
        <v>62</v>
      </c>
      <c r="N29" s="101">
        <v>64</v>
      </c>
      <c r="O29" s="101">
        <v>66</v>
      </c>
      <c r="P29" s="101">
        <v>68</v>
      </c>
      <c r="Q29" s="102">
        <f t="shared" si="0"/>
        <v>3.0303030303030276E-2</v>
      </c>
      <c r="R29" s="101">
        <f t="shared" si="1"/>
        <v>2</v>
      </c>
      <c r="S29" s="95">
        <f>P29/P29</f>
        <v>1</v>
      </c>
    </row>
    <row r="30" spans="1:19" x14ac:dyDescent="0.25">
      <c r="A30" s="1"/>
      <c r="B30" s="96" t="s">
        <v>62</v>
      </c>
      <c r="C30" s="97">
        <v>21</v>
      </c>
      <c r="D30" s="97">
        <v>25</v>
      </c>
      <c r="E30" s="97">
        <v>41</v>
      </c>
      <c r="F30" s="97">
        <v>43</v>
      </c>
      <c r="G30" s="97">
        <v>49</v>
      </c>
      <c r="H30" s="97">
        <v>46</v>
      </c>
      <c r="I30" s="98">
        <f t="shared" si="2"/>
        <v>-6.1224489795918324E-2</v>
      </c>
      <c r="J30" s="97">
        <f t="shared" si="3"/>
        <v>-3</v>
      </c>
      <c r="K30" s="98">
        <f>H30/H29</f>
        <v>0.70769230769230773</v>
      </c>
      <c r="L30" s="97">
        <v>41</v>
      </c>
      <c r="M30" s="97">
        <v>43</v>
      </c>
      <c r="N30" s="97">
        <v>45</v>
      </c>
      <c r="O30" s="97">
        <v>47</v>
      </c>
      <c r="P30" s="97">
        <v>49</v>
      </c>
      <c r="Q30" s="98">
        <f t="shared" si="0"/>
        <v>4.2553191489361764E-2</v>
      </c>
      <c r="R30" s="97">
        <f t="shared" si="1"/>
        <v>2</v>
      </c>
      <c r="S30" s="98">
        <f>P30/P29</f>
        <v>0.72058823529411764</v>
      </c>
    </row>
    <row r="31" spans="1:19" x14ac:dyDescent="0.25">
      <c r="A31" s="108" t="s">
        <v>68</v>
      </c>
      <c r="B31" s="99" t="s">
        <v>63</v>
      </c>
      <c r="C31" s="53">
        <v>11</v>
      </c>
      <c r="D31" s="53">
        <v>14</v>
      </c>
      <c r="E31" s="53">
        <v>25</v>
      </c>
      <c r="F31" s="53">
        <v>26</v>
      </c>
      <c r="G31" s="53">
        <v>30</v>
      </c>
      <c r="H31" s="53">
        <v>29</v>
      </c>
      <c r="I31" s="100">
        <f t="shared" si="2"/>
        <v>-3.3333333333333326E-2</v>
      </c>
      <c r="J31" s="53">
        <f t="shared" si="3"/>
        <v>-1</v>
      </c>
      <c r="K31" s="100">
        <f>H31/H29</f>
        <v>0.44615384615384618</v>
      </c>
      <c r="L31" s="53">
        <v>25</v>
      </c>
      <c r="M31" s="53">
        <v>26</v>
      </c>
      <c r="N31" s="53">
        <v>28</v>
      </c>
      <c r="O31" s="53">
        <v>29</v>
      </c>
      <c r="P31" s="53">
        <v>30</v>
      </c>
      <c r="Q31" s="100">
        <f t="shared" si="0"/>
        <v>3.4482758620689724E-2</v>
      </c>
      <c r="R31" s="53">
        <f t="shared" si="1"/>
        <v>1</v>
      </c>
      <c r="S31" s="100">
        <f>P31/P29</f>
        <v>0.44117647058823528</v>
      </c>
    </row>
    <row r="32" spans="1:19" x14ac:dyDescent="0.25">
      <c r="A32" s="108" t="s">
        <v>69</v>
      </c>
      <c r="B32" s="99" t="s">
        <v>70</v>
      </c>
      <c r="C32" s="53">
        <v>10</v>
      </c>
      <c r="D32" s="53">
        <v>11</v>
      </c>
      <c r="E32" s="53">
        <v>16</v>
      </c>
      <c r="F32" s="53">
        <v>17</v>
      </c>
      <c r="G32" s="53">
        <v>18</v>
      </c>
      <c r="H32" s="53">
        <v>18</v>
      </c>
      <c r="I32" s="100">
        <f t="shared" si="2"/>
        <v>0</v>
      </c>
      <c r="J32" s="53">
        <f t="shared" si="3"/>
        <v>0</v>
      </c>
      <c r="K32" s="100">
        <f>H32/H29</f>
        <v>0.27692307692307694</v>
      </c>
      <c r="L32" s="53">
        <v>16</v>
      </c>
      <c r="M32" s="53">
        <v>17</v>
      </c>
      <c r="N32" s="53">
        <v>17</v>
      </c>
      <c r="O32" s="53">
        <v>18</v>
      </c>
      <c r="P32" s="53">
        <v>19</v>
      </c>
      <c r="Q32" s="100">
        <f t="shared" si="0"/>
        <v>5.555555555555558E-2</v>
      </c>
      <c r="R32" s="53">
        <f t="shared" si="1"/>
        <v>1</v>
      </c>
      <c r="S32" s="100">
        <f>P32/P29</f>
        <v>0.27941176470588236</v>
      </c>
    </row>
    <row r="33" spans="1:19" x14ac:dyDescent="0.25">
      <c r="A33" s="1"/>
      <c r="B33" s="96" t="s">
        <v>65</v>
      </c>
      <c r="C33" s="97">
        <v>12</v>
      </c>
      <c r="D33" s="97">
        <v>12</v>
      </c>
      <c r="E33" s="97">
        <v>18</v>
      </c>
      <c r="F33" s="97">
        <v>19</v>
      </c>
      <c r="G33" s="97">
        <v>19</v>
      </c>
      <c r="H33" s="97">
        <v>19</v>
      </c>
      <c r="I33" s="98">
        <f t="shared" si="2"/>
        <v>0</v>
      </c>
      <c r="J33" s="97">
        <f t="shared" si="3"/>
        <v>0</v>
      </c>
      <c r="K33" s="98">
        <f>H33/H29</f>
        <v>0.29230769230769232</v>
      </c>
      <c r="L33" s="97">
        <v>19</v>
      </c>
      <c r="M33" s="97">
        <v>19</v>
      </c>
      <c r="N33" s="97">
        <v>19</v>
      </c>
      <c r="O33" s="97">
        <v>19</v>
      </c>
      <c r="P33" s="97">
        <v>19</v>
      </c>
      <c r="Q33" s="98">
        <f t="shared" si="0"/>
        <v>0</v>
      </c>
      <c r="R33" s="97">
        <f t="shared" si="1"/>
        <v>0</v>
      </c>
      <c r="S33" s="98">
        <f>P33/P29</f>
        <v>0.27941176470588236</v>
      </c>
    </row>
    <row r="34" spans="1:19" x14ac:dyDescent="0.25">
      <c r="A34" s="1"/>
      <c r="B34" s="93" t="s">
        <v>51</v>
      </c>
      <c r="C34" s="101">
        <v>4</v>
      </c>
      <c r="D34" s="101">
        <v>3</v>
      </c>
      <c r="E34" s="101">
        <v>5</v>
      </c>
      <c r="F34" s="101">
        <v>5</v>
      </c>
      <c r="G34" s="101">
        <v>7</v>
      </c>
      <c r="H34" s="101">
        <v>6</v>
      </c>
      <c r="I34" s="102">
        <f t="shared" si="2"/>
        <v>-0.1428571428571429</v>
      </c>
      <c r="J34" s="101">
        <f t="shared" si="3"/>
        <v>-1</v>
      </c>
      <c r="K34" s="95">
        <f>H34/H34</f>
        <v>1</v>
      </c>
      <c r="L34" s="101">
        <v>5</v>
      </c>
      <c r="M34" s="101">
        <v>5</v>
      </c>
      <c r="N34" s="101">
        <v>6</v>
      </c>
      <c r="O34" s="101">
        <v>6</v>
      </c>
      <c r="P34" s="101">
        <v>5</v>
      </c>
      <c r="Q34" s="102">
        <f t="shared" si="0"/>
        <v>-0.16666666666666663</v>
      </c>
      <c r="R34" s="101">
        <f t="shared" si="1"/>
        <v>-1</v>
      </c>
      <c r="S34" s="95">
        <f>P34/P34</f>
        <v>1</v>
      </c>
    </row>
    <row r="35" spans="1:19" x14ac:dyDescent="0.25">
      <c r="A35" s="1"/>
      <c r="B35" s="96" t="s">
        <v>62</v>
      </c>
      <c r="C35" s="97">
        <v>4</v>
      </c>
      <c r="D35" s="97">
        <v>3</v>
      </c>
      <c r="E35" s="97">
        <v>5</v>
      </c>
      <c r="F35" s="97">
        <v>5</v>
      </c>
      <c r="G35" s="97">
        <v>7</v>
      </c>
      <c r="H35" s="97">
        <v>6</v>
      </c>
      <c r="I35" s="98">
        <f t="shared" si="2"/>
        <v>-0.1428571428571429</v>
      </c>
      <c r="J35" s="97">
        <f t="shared" si="3"/>
        <v>-1</v>
      </c>
      <c r="K35" s="98">
        <f>H35/H34</f>
        <v>1</v>
      </c>
      <c r="L35" s="97">
        <v>5</v>
      </c>
      <c r="M35" s="97">
        <v>5</v>
      </c>
      <c r="N35" s="97">
        <v>6</v>
      </c>
      <c r="O35" s="97">
        <v>6</v>
      </c>
      <c r="P35" s="97">
        <v>5</v>
      </c>
      <c r="Q35" s="98">
        <f t="shared" si="0"/>
        <v>-0.16666666666666663</v>
      </c>
      <c r="R35" s="97">
        <f t="shared" si="1"/>
        <v>-1</v>
      </c>
      <c r="S35" s="98">
        <f>P35/P34</f>
        <v>1</v>
      </c>
    </row>
    <row r="36" spans="1:19" x14ac:dyDescent="0.25">
      <c r="A36" s="1"/>
      <c r="B36" s="93" t="s">
        <v>52</v>
      </c>
      <c r="C36" s="101">
        <v>6</v>
      </c>
      <c r="D36" s="101">
        <v>7</v>
      </c>
      <c r="E36" s="101">
        <v>11</v>
      </c>
      <c r="F36" s="101">
        <v>12</v>
      </c>
      <c r="G36" s="101">
        <v>13</v>
      </c>
      <c r="H36" s="101">
        <v>13</v>
      </c>
      <c r="I36" s="102">
        <f t="shared" si="2"/>
        <v>0</v>
      </c>
      <c r="J36" s="101">
        <f t="shared" si="3"/>
        <v>0</v>
      </c>
      <c r="K36" s="102">
        <f>H36/H36</f>
        <v>1</v>
      </c>
      <c r="L36" s="101">
        <v>11</v>
      </c>
      <c r="M36" s="101">
        <v>12</v>
      </c>
      <c r="N36" s="101">
        <v>12</v>
      </c>
      <c r="O36" s="101">
        <v>12</v>
      </c>
      <c r="P36" s="101">
        <v>14</v>
      </c>
      <c r="Q36" s="102">
        <f t="shared" si="0"/>
        <v>0.16666666666666674</v>
      </c>
      <c r="R36" s="101">
        <f t="shared" si="1"/>
        <v>2</v>
      </c>
      <c r="S36" s="102">
        <f>P36/P36</f>
        <v>1</v>
      </c>
    </row>
    <row r="37" spans="1:19" x14ac:dyDescent="0.25">
      <c r="A37" s="1"/>
      <c r="B37" s="96" t="s">
        <v>62</v>
      </c>
      <c r="C37" s="97">
        <v>2</v>
      </c>
      <c r="D37" s="97">
        <v>3</v>
      </c>
      <c r="E37" s="97">
        <v>6</v>
      </c>
      <c r="F37" s="97">
        <v>6</v>
      </c>
      <c r="G37" s="97">
        <v>7</v>
      </c>
      <c r="H37" s="97">
        <v>7</v>
      </c>
      <c r="I37" s="98">
        <f t="shared" si="2"/>
        <v>0</v>
      </c>
      <c r="J37" s="97">
        <f t="shared" si="3"/>
        <v>0</v>
      </c>
      <c r="K37" s="98">
        <f>H37/H36</f>
        <v>0.53846153846153844</v>
      </c>
      <c r="L37" s="97">
        <v>6</v>
      </c>
      <c r="M37" s="97">
        <v>6</v>
      </c>
      <c r="N37" s="97">
        <v>6</v>
      </c>
      <c r="O37" s="97">
        <v>6</v>
      </c>
      <c r="P37" s="97">
        <v>8</v>
      </c>
      <c r="Q37" s="98">
        <f t="shared" si="0"/>
        <v>0.33333333333333326</v>
      </c>
      <c r="R37" s="97">
        <f t="shared" si="1"/>
        <v>2</v>
      </c>
      <c r="S37" s="98">
        <f>P37/P36</f>
        <v>0.5714285714285714</v>
      </c>
    </row>
    <row r="38" spans="1:19" x14ac:dyDescent="0.25">
      <c r="A38" s="1"/>
      <c r="B38" s="96" t="s">
        <v>65</v>
      </c>
      <c r="C38" s="97">
        <v>3</v>
      </c>
      <c r="D38" s="97">
        <v>3</v>
      </c>
      <c r="E38" s="97">
        <v>5</v>
      </c>
      <c r="F38" s="97">
        <v>6</v>
      </c>
      <c r="G38" s="97">
        <v>6</v>
      </c>
      <c r="H38" s="97">
        <v>6</v>
      </c>
      <c r="I38" s="98">
        <f t="shared" si="2"/>
        <v>0</v>
      </c>
      <c r="J38" s="97">
        <f t="shared" si="3"/>
        <v>0</v>
      </c>
      <c r="K38" s="98">
        <f>H38/H36</f>
        <v>0.46153846153846156</v>
      </c>
      <c r="L38" s="97">
        <v>5</v>
      </c>
      <c r="M38" s="97">
        <v>6</v>
      </c>
      <c r="N38" s="97">
        <v>6</v>
      </c>
      <c r="O38" s="97">
        <v>6</v>
      </c>
      <c r="P38" s="97">
        <v>6</v>
      </c>
      <c r="Q38" s="98">
        <f t="shared" si="0"/>
        <v>0</v>
      </c>
      <c r="R38" s="97">
        <f t="shared" si="1"/>
        <v>0</v>
      </c>
      <c r="S38" s="98">
        <f>P38/P36</f>
        <v>0.42857142857142855</v>
      </c>
    </row>
    <row r="39" spans="1:19" x14ac:dyDescent="0.25">
      <c r="A39" s="1"/>
      <c r="B39" s="93" t="s">
        <v>53</v>
      </c>
      <c r="C39" s="101">
        <v>11</v>
      </c>
      <c r="D39" s="101">
        <v>12</v>
      </c>
      <c r="E39" s="101">
        <v>17</v>
      </c>
      <c r="F39" s="101">
        <v>19</v>
      </c>
      <c r="G39" s="101">
        <v>21</v>
      </c>
      <c r="H39" s="101">
        <v>20</v>
      </c>
      <c r="I39" s="102">
        <f t="shared" si="2"/>
        <v>-4.7619047619047672E-2</v>
      </c>
      <c r="J39" s="101">
        <f t="shared" si="3"/>
        <v>-1</v>
      </c>
      <c r="K39" s="95">
        <f>H39/H39</f>
        <v>1</v>
      </c>
      <c r="L39" s="101">
        <v>16</v>
      </c>
      <c r="M39" s="101">
        <v>17</v>
      </c>
      <c r="N39" s="101">
        <v>20</v>
      </c>
      <c r="O39" s="101">
        <v>20</v>
      </c>
      <c r="P39" s="101">
        <v>19</v>
      </c>
      <c r="Q39" s="102">
        <f t="shared" si="0"/>
        <v>-5.0000000000000044E-2</v>
      </c>
      <c r="R39" s="101">
        <f t="shared" si="1"/>
        <v>-1</v>
      </c>
      <c r="S39" s="95">
        <f>P39/P39</f>
        <v>1</v>
      </c>
    </row>
    <row r="40" spans="1:19" x14ac:dyDescent="0.25">
      <c r="A40" s="1"/>
      <c r="B40" s="96" t="s">
        <v>62</v>
      </c>
      <c r="C40" s="97">
        <v>11</v>
      </c>
      <c r="D40" s="97">
        <v>12</v>
      </c>
      <c r="E40" s="97">
        <v>17</v>
      </c>
      <c r="F40" s="97">
        <v>19</v>
      </c>
      <c r="G40" s="97">
        <v>21</v>
      </c>
      <c r="H40" s="97">
        <v>20</v>
      </c>
      <c r="I40" s="98">
        <f t="shared" si="2"/>
        <v>-4.7619047619047672E-2</v>
      </c>
      <c r="J40" s="97">
        <f t="shared" si="3"/>
        <v>-1</v>
      </c>
      <c r="K40" s="98">
        <f>H40/H39</f>
        <v>1</v>
      </c>
      <c r="L40" s="97">
        <v>16</v>
      </c>
      <c r="M40" s="97">
        <v>17</v>
      </c>
      <c r="N40" s="97">
        <v>20</v>
      </c>
      <c r="O40" s="97">
        <v>20</v>
      </c>
      <c r="P40" s="97">
        <v>19</v>
      </c>
      <c r="Q40" s="98">
        <f t="shared" si="0"/>
        <v>-5.0000000000000044E-2</v>
      </c>
      <c r="R40" s="97">
        <f t="shared" si="1"/>
        <v>-1</v>
      </c>
      <c r="S40" s="98">
        <f>P40/P39</f>
        <v>1</v>
      </c>
    </row>
    <row r="41" spans="1:19" x14ac:dyDescent="0.25">
      <c r="A41" s="108" t="s">
        <v>68</v>
      </c>
      <c r="B41" s="99" t="s">
        <v>63</v>
      </c>
      <c r="C41" s="53">
        <v>4</v>
      </c>
      <c r="D41" s="53">
        <v>7</v>
      </c>
      <c r="E41" s="53">
        <v>7</v>
      </c>
      <c r="F41" s="53">
        <v>7</v>
      </c>
      <c r="G41" s="53">
        <v>8</v>
      </c>
      <c r="H41" s="53">
        <v>8</v>
      </c>
      <c r="I41" s="100">
        <f t="shared" si="2"/>
        <v>0</v>
      </c>
      <c r="J41" s="53">
        <f t="shared" si="3"/>
        <v>0</v>
      </c>
      <c r="K41" s="100">
        <f>H41/H39</f>
        <v>0.4</v>
      </c>
      <c r="L41" s="53">
        <v>7</v>
      </c>
      <c r="M41" s="53">
        <v>7</v>
      </c>
      <c r="N41" s="53">
        <v>7</v>
      </c>
      <c r="O41" s="53">
        <v>8</v>
      </c>
      <c r="P41" s="53">
        <v>9</v>
      </c>
      <c r="Q41" s="100">
        <f t="shared" si="0"/>
        <v>0.125</v>
      </c>
      <c r="R41" s="53">
        <f t="shared" si="1"/>
        <v>1</v>
      </c>
      <c r="S41" s="100">
        <f>P41/P39</f>
        <v>0.47368421052631576</v>
      </c>
    </row>
    <row r="42" spans="1:19" x14ac:dyDescent="0.25">
      <c r="A42" s="108" t="s">
        <v>69</v>
      </c>
      <c r="B42" s="99" t="s">
        <v>70</v>
      </c>
      <c r="C42" s="53">
        <v>7</v>
      </c>
      <c r="D42" s="53">
        <v>6</v>
      </c>
      <c r="E42" s="53">
        <v>10</v>
      </c>
      <c r="F42" s="53">
        <v>12</v>
      </c>
      <c r="G42" s="53">
        <v>14</v>
      </c>
      <c r="H42" s="53">
        <v>12</v>
      </c>
      <c r="I42" s="100">
        <f t="shared" si="2"/>
        <v>-0.1428571428571429</v>
      </c>
      <c r="J42" s="53">
        <f t="shared" si="3"/>
        <v>-2</v>
      </c>
      <c r="K42" s="100">
        <f>H42/H39</f>
        <v>0.6</v>
      </c>
      <c r="L42" s="53">
        <v>9</v>
      </c>
      <c r="M42" s="53">
        <v>10</v>
      </c>
      <c r="N42" s="53">
        <v>13</v>
      </c>
      <c r="O42" s="53">
        <v>12</v>
      </c>
      <c r="P42" s="53">
        <v>10</v>
      </c>
      <c r="Q42" s="100">
        <f t="shared" si="0"/>
        <v>-0.16666666666666663</v>
      </c>
      <c r="R42" s="53">
        <f t="shared" si="1"/>
        <v>-2</v>
      </c>
      <c r="S42" s="100">
        <f>P42/P39</f>
        <v>0.52631578947368418</v>
      </c>
    </row>
    <row r="43" spans="1:19" x14ac:dyDescent="0.25">
      <c r="A43" s="1"/>
      <c r="B43" s="93" t="s">
        <v>54</v>
      </c>
      <c r="C43" s="101">
        <v>9</v>
      </c>
      <c r="D43" s="101">
        <v>11</v>
      </c>
      <c r="E43" s="101">
        <v>14</v>
      </c>
      <c r="F43" s="101">
        <v>14</v>
      </c>
      <c r="G43" s="101">
        <v>15</v>
      </c>
      <c r="H43" s="101">
        <v>15</v>
      </c>
      <c r="I43" s="102">
        <f t="shared" si="2"/>
        <v>0</v>
      </c>
      <c r="J43" s="101">
        <f t="shared" si="3"/>
        <v>0</v>
      </c>
      <c r="K43" s="95">
        <f>H43/H43</f>
        <v>1</v>
      </c>
      <c r="L43" s="101">
        <v>14</v>
      </c>
      <c r="M43" s="101">
        <v>14</v>
      </c>
      <c r="N43" s="101">
        <v>14</v>
      </c>
      <c r="O43" s="101">
        <v>15</v>
      </c>
      <c r="P43" s="101">
        <v>15</v>
      </c>
      <c r="Q43" s="102">
        <f t="shared" si="0"/>
        <v>0</v>
      </c>
      <c r="R43" s="101">
        <f t="shared" si="1"/>
        <v>0</v>
      </c>
      <c r="S43" s="95">
        <f>P43/P43</f>
        <v>1</v>
      </c>
    </row>
    <row r="44" spans="1:19" x14ac:dyDescent="0.25">
      <c r="A44" s="1"/>
      <c r="B44" s="96" t="s">
        <v>62</v>
      </c>
      <c r="C44" s="97">
        <v>4</v>
      </c>
      <c r="D44" s="97">
        <v>5</v>
      </c>
      <c r="E44" s="97">
        <v>8</v>
      </c>
      <c r="F44" s="97">
        <v>8</v>
      </c>
      <c r="G44" s="97">
        <v>9</v>
      </c>
      <c r="H44" s="97">
        <v>8</v>
      </c>
      <c r="I44" s="98">
        <f t="shared" si="2"/>
        <v>-0.11111111111111116</v>
      </c>
      <c r="J44" s="97">
        <f t="shared" si="3"/>
        <v>-1</v>
      </c>
      <c r="K44" s="98">
        <f>H44/H43</f>
        <v>0.53333333333333333</v>
      </c>
      <c r="L44" s="97">
        <v>8</v>
      </c>
      <c r="M44" s="97">
        <v>8</v>
      </c>
      <c r="N44" s="97">
        <v>8</v>
      </c>
      <c r="O44" s="97">
        <v>8</v>
      </c>
      <c r="P44" s="97">
        <v>8</v>
      </c>
      <c r="Q44" s="98">
        <f t="shared" si="0"/>
        <v>0</v>
      </c>
      <c r="R44" s="97">
        <f t="shared" si="1"/>
        <v>0</v>
      </c>
      <c r="S44" s="98">
        <f>P44/P43</f>
        <v>0.53333333333333333</v>
      </c>
    </row>
    <row r="45" spans="1:19" x14ac:dyDescent="0.25">
      <c r="A45" s="108" t="s">
        <v>68</v>
      </c>
      <c r="B45" s="99" t="s">
        <v>63</v>
      </c>
      <c r="C45" s="53">
        <v>0</v>
      </c>
      <c r="D45" s="53">
        <v>4</v>
      </c>
      <c r="E45" s="53">
        <v>6</v>
      </c>
      <c r="F45" s="53">
        <v>6</v>
      </c>
      <c r="G45" s="53">
        <v>7</v>
      </c>
      <c r="H45" s="53">
        <v>6</v>
      </c>
      <c r="I45" s="100">
        <f t="shared" si="2"/>
        <v>-0.1428571428571429</v>
      </c>
      <c r="J45" s="53">
        <f t="shared" si="3"/>
        <v>-1</v>
      </c>
      <c r="K45" s="100">
        <f>H45/H43</f>
        <v>0.4</v>
      </c>
      <c r="L45" s="53">
        <v>6</v>
      </c>
      <c r="M45" s="53">
        <v>6</v>
      </c>
      <c r="N45" s="53">
        <v>6</v>
      </c>
      <c r="O45" s="53">
        <v>6</v>
      </c>
      <c r="P45" s="53">
        <v>6</v>
      </c>
      <c r="Q45" s="100">
        <f t="shared" si="0"/>
        <v>0</v>
      </c>
      <c r="R45" s="53">
        <f t="shared" si="1"/>
        <v>0</v>
      </c>
      <c r="S45" s="100">
        <f>P45/P43</f>
        <v>0.4</v>
      </c>
    </row>
    <row r="46" spans="1:19" x14ac:dyDescent="0.25">
      <c r="A46" s="108" t="s">
        <v>69</v>
      </c>
      <c r="B46" s="99" t="s">
        <v>70</v>
      </c>
      <c r="C46" s="53">
        <v>0</v>
      </c>
      <c r="D46" s="53">
        <v>2</v>
      </c>
      <c r="E46" s="53">
        <v>2</v>
      </c>
      <c r="F46" s="53">
        <v>2</v>
      </c>
      <c r="G46" s="53">
        <v>2</v>
      </c>
      <c r="H46" s="53">
        <v>2</v>
      </c>
      <c r="I46" s="100">
        <f t="shared" si="2"/>
        <v>0</v>
      </c>
      <c r="J46" s="53">
        <f t="shared" si="3"/>
        <v>0</v>
      </c>
      <c r="K46" s="100">
        <f>H46/H43</f>
        <v>0.13333333333333333</v>
      </c>
      <c r="L46" s="53">
        <v>2</v>
      </c>
      <c r="M46" s="53">
        <v>2</v>
      </c>
      <c r="N46" s="53">
        <v>2</v>
      </c>
      <c r="O46" s="53">
        <v>2</v>
      </c>
      <c r="P46" s="53">
        <v>2</v>
      </c>
      <c r="Q46" s="100">
        <f t="shared" si="0"/>
        <v>0</v>
      </c>
      <c r="R46" s="53">
        <f t="shared" si="1"/>
        <v>0</v>
      </c>
      <c r="S46" s="100">
        <f>P46/P43</f>
        <v>0.13333333333333333</v>
      </c>
    </row>
    <row r="47" spans="1:19" x14ac:dyDescent="0.25">
      <c r="A47" s="1"/>
      <c r="B47" s="96" t="s">
        <v>65</v>
      </c>
      <c r="C47" s="97">
        <v>5</v>
      </c>
      <c r="D47" s="97">
        <v>6</v>
      </c>
      <c r="E47" s="97">
        <v>6</v>
      </c>
      <c r="F47" s="97">
        <v>6</v>
      </c>
      <c r="G47" s="97">
        <v>6</v>
      </c>
      <c r="H47" s="97">
        <v>7</v>
      </c>
      <c r="I47" s="98">
        <f t="shared" si="2"/>
        <v>0.16666666666666674</v>
      </c>
      <c r="J47" s="97">
        <f t="shared" si="3"/>
        <v>1</v>
      </c>
      <c r="K47" s="98">
        <f>H47/H43</f>
        <v>0.46666666666666667</v>
      </c>
      <c r="L47" s="97">
        <v>6</v>
      </c>
      <c r="M47" s="97">
        <v>6</v>
      </c>
      <c r="N47" s="97">
        <v>6</v>
      </c>
      <c r="O47" s="97">
        <v>7</v>
      </c>
      <c r="P47" s="97">
        <v>7</v>
      </c>
      <c r="Q47" s="98">
        <f t="shared" si="0"/>
        <v>0</v>
      </c>
      <c r="R47" s="97">
        <f t="shared" si="1"/>
        <v>0</v>
      </c>
      <c r="S47" s="98">
        <f>P47/P43</f>
        <v>0.46666666666666667</v>
      </c>
    </row>
    <row r="48" spans="1:19" x14ac:dyDescent="0.25">
      <c r="A48" s="1"/>
      <c r="B48" s="93" t="s">
        <v>55</v>
      </c>
      <c r="C48" s="101">
        <v>11</v>
      </c>
      <c r="D48" s="101">
        <v>13</v>
      </c>
      <c r="E48" s="101">
        <v>16</v>
      </c>
      <c r="F48" s="101">
        <v>16</v>
      </c>
      <c r="G48" s="101">
        <v>20</v>
      </c>
      <c r="H48" s="101">
        <v>19</v>
      </c>
      <c r="I48" s="102">
        <f t="shared" si="2"/>
        <v>-5.0000000000000044E-2</v>
      </c>
      <c r="J48" s="101">
        <f t="shared" si="3"/>
        <v>-1</v>
      </c>
      <c r="K48" s="95">
        <f>H48/H48</f>
        <v>1</v>
      </c>
      <c r="L48" s="101">
        <v>15</v>
      </c>
      <c r="M48" s="101">
        <v>15</v>
      </c>
      <c r="N48" s="101">
        <v>17</v>
      </c>
      <c r="O48" s="101">
        <v>17</v>
      </c>
      <c r="P48" s="101">
        <v>17</v>
      </c>
      <c r="Q48" s="102">
        <f t="shared" si="0"/>
        <v>0</v>
      </c>
      <c r="R48" s="101">
        <f t="shared" si="1"/>
        <v>0</v>
      </c>
      <c r="S48" s="95">
        <f>P48/P48</f>
        <v>1</v>
      </c>
    </row>
    <row r="49" spans="1:19" x14ac:dyDescent="0.25">
      <c r="A49" s="1"/>
      <c r="B49" s="96" t="s">
        <v>62</v>
      </c>
      <c r="C49" s="97">
        <v>9</v>
      </c>
      <c r="D49" s="97">
        <v>12</v>
      </c>
      <c r="E49" s="97">
        <v>14</v>
      </c>
      <c r="F49" s="97">
        <v>13</v>
      </c>
      <c r="G49" s="97">
        <v>17</v>
      </c>
      <c r="H49" s="97">
        <v>16</v>
      </c>
      <c r="I49" s="98">
        <f t="shared" si="2"/>
        <v>-5.8823529411764719E-2</v>
      </c>
      <c r="J49" s="97">
        <f t="shared" si="3"/>
        <v>-1</v>
      </c>
      <c r="K49" s="98">
        <f>H49/H48</f>
        <v>0.84210526315789469</v>
      </c>
      <c r="L49" s="97">
        <v>13</v>
      </c>
      <c r="M49" s="97">
        <v>12</v>
      </c>
      <c r="N49" s="97">
        <v>14</v>
      </c>
      <c r="O49" s="97">
        <v>14</v>
      </c>
      <c r="P49" s="97">
        <v>14</v>
      </c>
      <c r="Q49" s="98">
        <f t="shared" si="0"/>
        <v>0</v>
      </c>
      <c r="R49" s="97">
        <f t="shared" si="1"/>
        <v>0</v>
      </c>
      <c r="S49" s="98">
        <f>P49/P48</f>
        <v>0.82352941176470584</v>
      </c>
    </row>
    <row r="50" spans="1:19" x14ac:dyDescent="0.25">
      <c r="A50" s="108" t="s">
        <v>68</v>
      </c>
      <c r="B50" s="99" t="s">
        <v>63</v>
      </c>
      <c r="C50" s="53">
        <v>5</v>
      </c>
      <c r="D50" s="53">
        <v>8</v>
      </c>
      <c r="E50" s="53">
        <v>8</v>
      </c>
      <c r="F50" s="53">
        <v>8</v>
      </c>
      <c r="G50" s="53">
        <v>9</v>
      </c>
      <c r="H50" s="53">
        <v>8</v>
      </c>
      <c r="I50" s="100">
        <f t="shared" si="2"/>
        <v>-0.11111111111111116</v>
      </c>
      <c r="J50" s="53">
        <f t="shared" si="3"/>
        <v>-1</v>
      </c>
      <c r="K50" s="100">
        <f>H50/H48</f>
        <v>0.42105263157894735</v>
      </c>
      <c r="L50" s="53">
        <v>8</v>
      </c>
      <c r="M50" s="53">
        <v>8</v>
      </c>
      <c r="N50" s="53">
        <v>8</v>
      </c>
      <c r="O50" s="53">
        <v>8</v>
      </c>
      <c r="P50" s="53">
        <v>8</v>
      </c>
      <c r="Q50" s="100">
        <f t="shared" si="0"/>
        <v>0</v>
      </c>
      <c r="R50" s="53">
        <f t="shared" si="1"/>
        <v>0</v>
      </c>
      <c r="S50" s="100">
        <f>P50/P48</f>
        <v>0.47058823529411764</v>
      </c>
    </row>
    <row r="51" spans="1:19" x14ac:dyDescent="0.25">
      <c r="A51" s="108" t="s">
        <v>69</v>
      </c>
      <c r="B51" s="99" t="s">
        <v>70</v>
      </c>
      <c r="C51" s="53">
        <v>4</v>
      </c>
      <c r="D51" s="53">
        <v>4</v>
      </c>
      <c r="E51" s="53">
        <v>6</v>
      </c>
      <c r="F51" s="53">
        <v>5</v>
      </c>
      <c r="G51" s="53">
        <v>8</v>
      </c>
      <c r="H51" s="53">
        <v>8</v>
      </c>
      <c r="I51" s="100">
        <f t="shared" si="2"/>
        <v>0</v>
      </c>
      <c r="J51" s="53">
        <f t="shared" si="3"/>
        <v>0</v>
      </c>
      <c r="K51" s="100">
        <f>H51/H48</f>
        <v>0.42105263157894735</v>
      </c>
      <c r="L51" s="53">
        <v>5</v>
      </c>
      <c r="M51" s="53">
        <v>4</v>
      </c>
      <c r="N51" s="53">
        <v>6</v>
      </c>
      <c r="O51" s="53">
        <v>6</v>
      </c>
      <c r="P51" s="53">
        <v>6</v>
      </c>
      <c r="Q51" s="100">
        <f t="shared" si="0"/>
        <v>0</v>
      </c>
      <c r="R51" s="53">
        <f t="shared" si="1"/>
        <v>0</v>
      </c>
      <c r="S51" s="100">
        <f>P51/P48</f>
        <v>0.35294117647058826</v>
      </c>
    </row>
    <row r="52" spans="1:19" x14ac:dyDescent="0.25">
      <c r="A52" s="1"/>
      <c r="B52" s="96" t="s">
        <v>65</v>
      </c>
      <c r="C52" s="97">
        <v>2</v>
      </c>
      <c r="D52" s="97">
        <v>2</v>
      </c>
      <c r="E52" s="97">
        <v>3</v>
      </c>
      <c r="F52" s="97">
        <v>4</v>
      </c>
      <c r="G52" s="97">
        <v>4</v>
      </c>
      <c r="H52" s="97">
        <v>4</v>
      </c>
      <c r="I52" s="98">
        <f t="shared" si="2"/>
        <v>0</v>
      </c>
      <c r="J52" s="97">
        <f t="shared" si="3"/>
        <v>0</v>
      </c>
      <c r="K52" s="98">
        <f>H52/H48</f>
        <v>0.21052631578947367</v>
      </c>
      <c r="L52" s="97">
        <v>3</v>
      </c>
      <c r="M52" s="97">
        <v>4</v>
      </c>
      <c r="N52" s="97">
        <v>4</v>
      </c>
      <c r="O52" s="97">
        <v>4</v>
      </c>
      <c r="P52" s="97">
        <v>4</v>
      </c>
      <c r="Q52" s="98">
        <f t="shared" si="0"/>
        <v>0</v>
      </c>
      <c r="R52" s="97">
        <f t="shared" si="1"/>
        <v>0</v>
      </c>
      <c r="S52" s="98">
        <f>P52/P48</f>
        <v>0.23529411764705882</v>
      </c>
    </row>
    <row r="53" spans="1:19" ht="4.5" customHeight="1" x14ac:dyDescent="0.25">
      <c r="A53" s="1"/>
      <c r="B53" s="103"/>
      <c r="C53" s="104"/>
      <c r="D53" s="104"/>
      <c r="E53" s="104"/>
      <c r="F53" s="104"/>
      <c r="G53" s="105"/>
      <c r="H53" s="104"/>
      <c r="I53" s="106"/>
      <c r="J53" s="104"/>
      <c r="K53" s="106"/>
      <c r="L53" s="104"/>
      <c r="M53" s="104"/>
      <c r="N53" s="104"/>
      <c r="O53" s="104"/>
      <c r="P53" s="106"/>
      <c r="Q53" s="106"/>
      <c r="R53" s="106"/>
    </row>
    <row r="54" spans="1:19" x14ac:dyDescent="0.25">
      <c r="A54" s="1"/>
      <c r="B54" s="107" t="s">
        <v>57</v>
      </c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7"/>
      <c r="P54" s="107"/>
      <c r="Q54" s="107"/>
      <c r="R54" s="107"/>
    </row>
    <row r="55" spans="1:19" x14ac:dyDescent="0.25">
      <c r="A55" s="1"/>
    </row>
  </sheetData>
  <mergeCells count="2">
    <mergeCell ref="C5:H5"/>
    <mergeCell ref="L5:P5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B2ED5-707D-4F8B-89B4-8772206D809E}">
  <sheetPr>
    <tabColor theme="7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D876C-C9DC-4A36-B8C9-9665FF7DD333}">
  <sheetPr>
    <tabColor theme="7" tint="0.79998168889431442"/>
  </sheetPr>
  <dimension ref="A4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273" t="s">
        <v>245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8" t="s">
        <v>73</v>
      </c>
      <c r="D6" s="299"/>
      <c r="E6" s="299"/>
      <c r="F6" s="299"/>
      <c r="G6" s="299"/>
      <c r="H6" s="299"/>
      <c r="I6" s="299"/>
      <c r="J6" s="299"/>
      <c r="K6" s="299"/>
      <c r="L6" s="299"/>
    </row>
    <row r="7" spans="1:13" ht="22.5" thickTop="1" thickBot="1" x14ac:dyDescent="0.3">
      <c r="B7" s="112"/>
      <c r="C7" s="300">
        <f>E7-1</f>
        <v>2022</v>
      </c>
      <c r="D7" s="301"/>
      <c r="E7" s="300">
        <f>G7-1</f>
        <v>2023</v>
      </c>
      <c r="F7" s="301"/>
      <c r="G7" s="300">
        <f>I7-1</f>
        <v>2024</v>
      </c>
      <c r="H7" s="301"/>
      <c r="I7" s="300">
        <f>K7-1</f>
        <v>2025</v>
      </c>
      <c r="J7" s="301"/>
      <c r="K7" s="300">
        <v>2026</v>
      </c>
      <c r="L7" s="302"/>
    </row>
    <row r="8" spans="1:13" ht="16.5" thickTop="1" thickBot="1" x14ac:dyDescent="0.3">
      <c r="B8" s="87"/>
      <c r="C8" s="113" t="s">
        <v>74</v>
      </c>
      <c r="D8" s="114" t="str">
        <f>CONCATENATE("var ",RIGHT(C7,2),"/",RIGHT(C7-1,2))</f>
        <v>var 22/21</v>
      </c>
      <c r="E8" s="115" t="s">
        <v>74</v>
      </c>
      <c r="F8" s="114" t="str">
        <f>CONCATENATE("var ",RIGHT(E7,2),"/",RIGHT(E7-1,2))</f>
        <v>var 23/22</v>
      </c>
      <c r="G8" s="115" t="s">
        <v>74</v>
      </c>
      <c r="H8" s="114" t="str">
        <f>CONCATENATE("var ",RIGHT(G7,2),"/",RIGHT(G7-1,2))</f>
        <v>var 24/23</v>
      </c>
      <c r="I8" s="115" t="s">
        <v>74</v>
      </c>
      <c r="J8" s="114" t="str">
        <f>CONCATENATE("var ",RIGHT(I7,2),"/",RIGHT(I7-1,2))</f>
        <v>var 25/24</v>
      </c>
      <c r="K8" s="115" t="s">
        <v>74</v>
      </c>
      <c r="L8" s="114" t="str">
        <f>CONCATENATE("var ",RIGHT(K7,2),"/",RIGHT(K7-1,2))</f>
        <v>var 26/25</v>
      </c>
    </row>
    <row r="9" spans="1:13" x14ac:dyDescent="0.25">
      <c r="A9" s="1" t="s">
        <v>75</v>
      </c>
      <c r="B9" s="116" t="s">
        <v>76</v>
      </c>
      <c r="C9" s="117">
        <v>14146</v>
      </c>
      <c r="D9" s="118">
        <v>1.9674847912733373</v>
      </c>
      <c r="E9" s="117">
        <v>23609</v>
      </c>
      <c r="F9" s="118">
        <f t="shared" ref="F9:J21" si="0">IFERROR(E9/C9-1,"-")</f>
        <v>0.66895235402233855</v>
      </c>
      <c r="G9" s="117">
        <v>23403</v>
      </c>
      <c r="H9" s="118">
        <f t="shared" si="0"/>
        <v>-8.7254860434580195E-3</v>
      </c>
      <c r="I9" s="117">
        <v>24602</v>
      </c>
      <c r="J9" s="118">
        <f t="shared" si="0"/>
        <v>5.1232747938298573E-2</v>
      </c>
      <c r="K9" s="117">
        <v>28418</v>
      </c>
      <c r="L9" s="118">
        <f t="shared" ref="L9:L15" si="1">IFERROR(K9/I9-1,"-")</f>
        <v>0.15510934070400784</v>
      </c>
    </row>
    <row r="10" spans="1:13" x14ac:dyDescent="0.25">
      <c r="A10" s="1" t="s">
        <v>77</v>
      </c>
      <c r="B10" s="116" t="s">
        <v>78</v>
      </c>
      <c r="C10" s="117">
        <v>17059</v>
      </c>
      <c r="D10" s="118">
        <v>1.1215023007088671</v>
      </c>
      <c r="E10" s="117">
        <v>22775</v>
      </c>
      <c r="F10" s="118">
        <f t="shared" si="0"/>
        <v>0.33507239580280213</v>
      </c>
      <c r="G10" s="117">
        <v>22625</v>
      </c>
      <c r="H10" s="118">
        <f t="shared" si="0"/>
        <v>-6.5861690450055299E-3</v>
      </c>
      <c r="I10" s="117">
        <v>24926</v>
      </c>
      <c r="J10" s="118">
        <f t="shared" si="0"/>
        <v>0.10170165745856363</v>
      </c>
      <c r="K10" s="117">
        <v>27857</v>
      </c>
      <c r="L10" s="118">
        <f t="shared" si="1"/>
        <v>0.1175880606595523</v>
      </c>
    </row>
    <row r="11" spans="1:13" x14ac:dyDescent="0.25">
      <c r="A11" s="1" t="s">
        <v>79</v>
      </c>
      <c r="B11" s="116" t="s">
        <v>80</v>
      </c>
      <c r="C11" s="117">
        <v>20054</v>
      </c>
      <c r="D11" s="118">
        <v>0.94472459270752518</v>
      </c>
      <c r="E11" s="117">
        <v>25174</v>
      </c>
      <c r="F11" s="118">
        <f t="shared" si="0"/>
        <v>0.25531066121472024</v>
      </c>
      <c r="G11" s="117">
        <v>22971</v>
      </c>
      <c r="H11" s="118">
        <f t="shared" si="0"/>
        <v>-8.7510923969174592E-2</v>
      </c>
      <c r="I11" s="117">
        <v>26883</v>
      </c>
      <c r="J11" s="118">
        <f t="shared" si="0"/>
        <v>0.17030168473292417</v>
      </c>
      <c r="K11" s="117">
        <v>27912</v>
      </c>
      <c r="L11" s="118">
        <f t="shared" si="1"/>
        <v>3.8276978015846508E-2</v>
      </c>
    </row>
    <row r="12" spans="1:13" x14ac:dyDescent="0.25">
      <c r="A12" s="1" t="s">
        <v>81</v>
      </c>
      <c r="B12" s="116" t="s">
        <v>82</v>
      </c>
      <c r="C12" s="117">
        <v>17340</v>
      </c>
      <c r="D12" s="118">
        <v>0.8068146295717411</v>
      </c>
      <c r="E12" s="117">
        <v>19154</v>
      </c>
      <c r="F12" s="118">
        <f t="shared" si="0"/>
        <v>0.10461361014994242</v>
      </c>
      <c r="G12" s="117">
        <v>19029</v>
      </c>
      <c r="H12" s="118">
        <f t="shared" si="0"/>
        <v>-6.5260519995823385E-3</v>
      </c>
      <c r="I12" s="117">
        <v>20857</v>
      </c>
      <c r="J12" s="118">
        <f t="shared" si="0"/>
        <v>9.6063902464659234E-2</v>
      </c>
      <c r="K12" s="117">
        <v>23055</v>
      </c>
      <c r="L12" s="118">
        <f t="shared" si="1"/>
        <v>0.1053842834539962</v>
      </c>
    </row>
    <row r="13" spans="1:13" x14ac:dyDescent="0.25">
      <c r="A13" s="1" t="s">
        <v>83</v>
      </c>
      <c r="B13" s="116" t="s">
        <v>84</v>
      </c>
      <c r="C13" s="117">
        <v>18214</v>
      </c>
      <c r="D13" s="118">
        <v>0.45189318453567151</v>
      </c>
      <c r="E13" s="117">
        <v>17881</v>
      </c>
      <c r="F13" s="118">
        <f t="shared" si="0"/>
        <v>-1.828263972768196E-2</v>
      </c>
      <c r="G13" s="117">
        <v>17439</v>
      </c>
      <c r="H13" s="118">
        <f t="shared" si="0"/>
        <v>-2.4718975448800418E-2</v>
      </c>
      <c r="I13" s="117">
        <v>22620</v>
      </c>
      <c r="J13" s="118">
        <f t="shared" si="0"/>
        <v>0.29709272320660585</v>
      </c>
      <c r="K13" s="117">
        <v>20399</v>
      </c>
      <c r="L13" s="118">
        <f t="shared" si="1"/>
        <v>-9.818744473916885E-2</v>
      </c>
    </row>
    <row r="14" spans="1:13" x14ac:dyDescent="0.25">
      <c r="A14" s="1" t="s">
        <v>85</v>
      </c>
      <c r="B14" s="116" t="s">
        <v>86</v>
      </c>
      <c r="C14" s="117">
        <v>17608</v>
      </c>
      <c r="D14" s="118">
        <v>0.30034709401078197</v>
      </c>
      <c r="E14" s="117">
        <v>17983</v>
      </c>
      <c r="F14" s="118">
        <f t="shared" si="0"/>
        <v>2.1297137664697763E-2</v>
      </c>
      <c r="G14" s="117">
        <v>19479</v>
      </c>
      <c r="H14" s="118">
        <f t="shared" si="0"/>
        <v>8.3189679141411288E-2</v>
      </c>
      <c r="I14" s="117">
        <v>20873</v>
      </c>
      <c r="J14" s="118">
        <f t="shared" si="0"/>
        <v>7.1564248678063658E-2</v>
      </c>
      <c r="K14" s="117">
        <v>19069</v>
      </c>
      <c r="L14" s="118">
        <f t="shared" si="1"/>
        <v>-8.6427442150146083E-2</v>
      </c>
    </row>
    <row r="15" spans="1:13" x14ac:dyDescent="0.25">
      <c r="A15" s="1" t="s">
        <v>87</v>
      </c>
      <c r="B15" s="116" t="s">
        <v>88</v>
      </c>
      <c r="C15" s="117">
        <v>18083</v>
      </c>
      <c r="D15" s="118">
        <v>0.25593832476732881</v>
      </c>
      <c r="E15" s="117">
        <v>17745</v>
      </c>
      <c r="F15" s="118">
        <f t="shared" si="0"/>
        <v>-1.8691588785046731E-2</v>
      </c>
      <c r="G15" s="117">
        <v>21632</v>
      </c>
      <c r="H15" s="118">
        <f t="shared" si="0"/>
        <v>0.21904761904761916</v>
      </c>
      <c r="I15" s="117">
        <v>23873</v>
      </c>
      <c r="J15" s="118">
        <f t="shared" si="0"/>
        <v>0.10359652366863914</v>
      </c>
      <c r="K15" s="117">
        <v>21827</v>
      </c>
      <c r="L15" s="118">
        <f t="shared" si="1"/>
        <v>-8.570351443052826E-2</v>
      </c>
    </row>
    <row r="16" spans="1:13" x14ac:dyDescent="0.25">
      <c r="A16" s="1" t="s">
        <v>89</v>
      </c>
      <c r="B16" s="116" t="s">
        <v>90</v>
      </c>
      <c r="C16" s="117">
        <v>15520</v>
      </c>
      <c r="D16" s="118">
        <v>0.1145421903052064</v>
      </c>
      <c r="E16" s="117">
        <v>14993</v>
      </c>
      <c r="F16" s="118">
        <f t="shared" si="0"/>
        <v>-3.39561855670103E-2</v>
      </c>
      <c r="G16" s="117">
        <v>15201</v>
      </c>
      <c r="H16" s="118">
        <f t="shared" si="0"/>
        <v>1.3873140799039563E-2</v>
      </c>
      <c r="I16" s="117">
        <v>16969</v>
      </c>
      <c r="J16" s="118">
        <f t="shared" si="0"/>
        <v>0.11630813762252479</v>
      </c>
      <c r="K16" s="117"/>
      <c r="L16" s="118"/>
    </row>
    <row r="17" spans="1:13" x14ac:dyDescent="0.25">
      <c r="A17" s="1" t="s">
        <v>91</v>
      </c>
      <c r="B17" s="116" t="s">
        <v>92</v>
      </c>
      <c r="C17" s="117">
        <v>19959</v>
      </c>
      <c r="D17" s="118">
        <v>0.21161901293024954</v>
      </c>
      <c r="E17" s="117">
        <v>15933</v>
      </c>
      <c r="F17" s="118">
        <f t="shared" si="0"/>
        <v>-0.2017135127010371</v>
      </c>
      <c r="G17" s="117">
        <v>19577</v>
      </c>
      <c r="H17" s="118">
        <f t="shared" si="0"/>
        <v>0.22870771355049269</v>
      </c>
      <c r="I17" s="117">
        <v>21810</v>
      </c>
      <c r="J17" s="118">
        <f t="shared" si="0"/>
        <v>0.11406242018695401</v>
      </c>
      <c r="K17" s="117"/>
      <c r="L17" s="118"/>
    </row>
    <row r="18" spans="1:13" x14ac:dyDescent="0.25">
      <c r="A18" s="1" t="s">
        <v>93</v>
      </c>
      <c r="B18" s="116" t="s">
        <v>94</v>
      </c>
      <c r="C18" s="117">
        <v>21932</v>
      </c>
      <c r="D18" s="118">
        <v>0.11211399016277057</v>
      </c>
      <c r="E18" s="117">
        <v>20553</v>
      </c>
      <c r="F18" s="118">
        <f t="shared" si="0"/>
        <v>-6.2876162684661674E-2</v>
      </c>
      <c r="G18" s="117">
        <v>19337</v>
      </c>
      <c r="H18" s="118">
        <f t="shared" si="0"/>
        <v>-5.9164112295042037E-2</v>
      </c>
      <c r="I18" s="117">
        <v>24469</v>
      </c>
      <c r="J18" s="118">
        <f t="shared" si="0"/>
        <v>0.26539794176966436</v>
      </c>
      <c r="K18" s="117"/>
      <c r="L18" s="118"/>
    </row>
    <row r="19" spans="1:13" x14ac:dyDescent="0.25">
      <c r="A19" s="1" t="s">
        <v>95</v>
      </c>
      <c r="B19" s="116" t="s">
        <v>96</v>
      </c>
      <c r="C19" s="117">
        <v>25251</v>
      </c>
      <c r="D19" s="118">
        <v>0.11042216358839041</v>
      </c>
      <c r="E19" s="117">
        <v>23667</v>
      </c>
      <c r="F19" s="118">
        <f t="shared" si="0"/>
        <v>-6.2730188903409756E-2</v>
      </c>
      <c r="G19" s="117">
        <v>25085</v>
      </c>
      <c r="H19" s="118">
        <f t="shared" si="0"/>
        <v>5.9914649089449545E-2</v>
      </c>
      <c r="I19" s="117">
        <v>28486</v>
      </c>
      <c r="J19" s="118">
        <f t="shared" si="0"/>
        <v>0.13557903129360183</v>
      </c>
      <c r="K19" s="117"/>
      <c r="L19" s="118"/>
    </row>
    <row r="20" spans="1:13" x14ac:dyDescent="0.25">
      <c r="A20" s="1" t="s">
        <v>97</v>
      </c>
      <c r="B20" s="116" t="s">
        <v>98</v>
      </c>
      <c r="C20" s="117">
        <v>23965</v>
      </c>
      <c r="D20" s="118">
        <v>0.3169029563688317</v>
      </c>
      <c r="E20" s="117">
        <v>20577</v>
      </c>
      <c r="F20" s="118">
        <f t="shared" si="0"/>
        <v>-0.14137283538493639</v>
      </c>
      <c r="G20" s="117">
        <v>24629</v>
      </c>
      <c r="H20" s="118">
        <f t="shared" si="0"/>
        <v>0.19691889002284113</v>
      </c>
      <c r="I20" s="117">
        <v>26233</v>
      </c>
      <c r="J20" s="118">
        <f t="shared" si="0"/>
        <v>6.5126476917455101E-2</v>
      </c>
      <c r="K20" s="117"/>
      <c r="L20" s="118"/>
    </row>
    <row r="21" spans="1:13" ht="15.75" x14ac:dyDescent="0.25">
      <c r="A21" s="1" t="s">
        <v>0</v>
      </c>
      <c r="B21" s="119" t="s">
        <v>32</v>
      </c>
      <c r="C21" s="120">
        <v>229131</v>
      </c>
      <c r="D21" s="121">
        <v>0.39494575606667559</v>
      </c>
      <c r="E21" s="120">
        <v>240044</v>
      </c>
      <c r="F21" s="121">
        <f t="shared" si="0"/>
        <v>4.7627776250267262E-2</v>
      </c>
      <c r="G21" s="120">
        <v>250407</v>
      </c>
      <c r="H21" s="121">
        <f t="shared" si="0"/>
        <v>4.3171251937144772E-2</v>
      </c>
      <c r="I21" s="120">
        <v>282601</v>
      </c>
      <c r="J21" s="121">
        <f t="shared" si="0"/>
        <v>0.12856669342310711</v>
      </c>
      <c r="K21" s="120">
        <v>168537</v>
      </c>
      <c r="L21" s="121">
        <v>2.3707132184117574E-2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3" x14ac:dyDescent="0.25">
      <c r="E24" s="122"/>
      <c r="G24" s="122"/>
      <c r="I24" s="122"/>
      <c r="L24" s="81"/>
    </row>
    <row r="26" spans="1:13" ht="48.75" customHeight="1" thickBot="1" x14ac:dyDescent="0.3">
      <c r="B26" s="273" t="s">
        <v>246</v>
      </c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8" t="s">
        <v>102</v>
      </c>
      <c r="D28" s="299"/>
      <c r="E28" s="299"/>
      <c r="F28" s="299"/>
      <c r="G28" s="299"/>
      <c r="H28" s="299"/>
      <c r="I28" s="299"/>
      <c r="J28" s="299"/>
      <c r="K28" s="299"/>
      <c r="L28" s="299"/>
    </row>
    <row r="29" spans="1:13" ht="22.5" thickTop="1" thickBot="1" x14ac:dyDescent="0.3">
      <c r="B29" s="112"/>
      <c r="C29" s="303">
        <f>C$7</f>
        <v>2022</v>
      </c>
      <c r="D29" s="301"/>
      <c r="E29" s="303">
        <f>E$7</f>
        <v>2023</v>
      </c>
      <c r="F29" s="301"/>
      <c r="G29" s="303">
        <f>G$7</f>
        <v>2024</v>
      </c>
      <c r="H29" s="301"/>
      <c r="I29" s="303">
        <f>I$7</f>
        <v>2025</v>
      </c>
      <c r="J29" s="301"/>
      <c r="K29" s="303">
        <f>K$7</f>
        <v>2026</v>
      </c>
      <c r="L29" s="301"/>
    </row>
    <row r="30" spans="1:13" ht="16.5" thickTop="1" thickBot="1" x14ac:dyDescent="0.3">
      <c r="B30" s="87"/>
      <c r="C30" s="113" t="s">
        <v>74</v>
      </c>
      <c r="D30" s="114" t="str">
        <f>CONCATENATE("var ",RIGHT(C29,2),"/",RIGHT(C29-1,2))</f>
        <v>var 22/21</v>
      </c>
      <c r="E30" s="115" t="s">
        <v>74</v>
      </c>
      <c r="F30" s="114" t="str">
        <f>CONCATENATE("var ",RIGHT(E29,2),"/",RIGHT(E29-1,2))</f>
        <v>var 23/22</v>
      </c>
      <c r="G30" s="115" t="s">
        <v>74</v>
      </c>
      <c r="H30" s="114" t="str">
        <f>CONCATENATE("var ",RIGHT(G29,2),"/",RIGHT(G29-1,2))</f>
        <v>var 24/23</v>
      </c>
      <c r="I30" s="115" t="s">
        <v>74</v>
      </c>
      <c r="J30" s="114" t="str">
        <f>CONCATENATE("var ",RIGHT(I29,2),"/",RIGHT(I29-1,2))</f>
        <v>var 25/24</v>
      </c>
      <c r="K30" s="115" t="s">
        <v>74</v>
      </c>
      <c r="L30" s="114" t="str">
        <f>CONCATENATE("var ",RIGHT(K29,2),"/",RIGHT(K29-1,2))</f>
        <v>var 26/25</v>
      </c>
    </row>
    <row r="31" spans="1:13" x14ac:dyDescent="0.25">
      <c r="B31" s="116" t="s">
        <v>76</v>
      </c>
      <c r="C31" s="117">
        <v>6573</v>
      </c>
      <c r="D31" s="118">
        <v>1.5300230946882216</v>
      </c>
      <c r="E31" s="117">
        <v>10452</v>
      </c>
      <c r="F31" s="118">
        <f t="shared" ref="F31:J43" si="2">IFERROR(E31/C31-1,"-")</f>
        <v>0.59014148790506615</v>
      </c>
      <c r="G31" s="117">
        <v>11322</v>
      </c>
      <c r="H31" s="118">
        <f t="shared" si="2"/>
        <v>8.3237657864523529E-2</v>
      </c>
      <c r="I31" s="117">
        <v>11916</v>
      </c>
      <c r="J31" s="118">
        <f t="shared" si="2"/>
        <v>5.246422893481717E-2</v>
      </c>
      <c r="K31" s="117">
        <v>13832</v>
      </c>
      <c r="L31" s="118">
        <f t="shared" ref="L31:L37" si="3">IFERROR(K31/I31-1,"-")</f>
        <v>0.16079221215172868</v>
      </c>
    </row>
    <row r="32" spans="1:13" x14ac:dyDescent="0.25">
      <c r="B32" s="116" t="s">
        <v>78</v>
      </c>
      <c r="C32" s="117">
        <v>8995</v>
      </c>
      <c r="D32" s="118">
        <v>0.77451173801538764</v>
      </c>
      <c r="E32" s="117">
        <v>12083</v>
      </c>
      <c r="F32" s="118">
        <f t="shared" si="2"/>
        <v>0.3433018343524179</v>
      </c>
      <c r="G32" s="117">
        <v>11880</v>
      </c>
      <c r="H32" s="118">
        <f t="shared" si="2"/>
        <v>-1.680046346106101E-2</v>
      </c>
      <c r="I32" s="117">
        <v>13464</v>
      </c>
      <c r="J32" s="118">
        <f t="shared" si="2"/>
        <v>0.1333333333333333</v>
      </c>
      <c r="K32" s="117">
        <v>14864</v>
      </c>
      <c r="L32" s="118">
        <f t="shared" si="3"/>
        <v>0.10398098633392761</v>
      </c>
    </row>
    <row r="33" spans="2:13" x14ac:dyDescent="0.25">
      <c r="B33" s="116" t="s">
        <v>80</v>
      </c>
      <c r="C33" s="117">
        <v>11575</v>
      </c>
      <c r="D33" s="118">
        <v>0.8757089612704585</v>
      </c>
      <c r="E33" s="117">
        <v>15380</v>
      </c>
      <c r="F33" s="118">
        <f t="shared" si="2"/>
        <v>0.32872570194384454</v>
      </c>
      <c r="G33" s="117">
        <v>12803</v>
      </c>
      <c r="H33" s="118">
        <f t="shared" si="2"/>
        <v>-0.16755526657997399</v>
      </c>
      <c r="I33" s="117">
        <v>15642</v>
      </c>
      <c r="J33" s="118">
        <f t="shared" si="2"/>
        <v>0.22174490353823328</v>
      </c>
      <c r="K33" s="117">
        <v>15932</v>
      </c>
      <c r="L33" s="118">
        <f t="shared" si="3"/>
        <v>1.8539828666410907E-2</v>
      </c>
    </row>
    <row r="34" spans="2:13" x14ac:dyDescent="0.25">
      <c r="B34" s="116" t="s">
        <v>82</v>
      </c>
      <c r="C34" s="117">
        <v>10703</v>
      </c>
      <c r="D34" s="118">
        <v>0.7171506497673672</v>
      </c>
      <c r="E34" s="117">
        <v>12270</v>
      </c>
      <c r="F34" s="118">
        <f t="shared" si="2"/>
        <v>0.14640754928524702</v>
      </c>
      <c r="G34" s="117">
        <v>11832</v>
      </c>
      <c r="H34" s="118">
        <f t="shared" si="2"/>
        <v>-3.5696821515892374E-2</v>
      </c>
      <c r="I34" s="117">
        <v>12892</v>
      </c>
      <c r="J34" s="118">
        <f t="shared" si="2"/>
        <v>8.9587559161595776E-2</v>
      </c>
      <c r="K34" s="117">
        <v>14031</v>
      </c>
      <c r="L34" s="118">
        <f t="shared" si="3"/>
        <v>8.8349363946633508E-2</v>
      </c>
    </row>
    <row r="35" spans="2:13" x14ac:dyDescent="0.25">
      <c r="B35" s="116" t="s">
        <v>84</v>
      </c>
      <c r="C35" s="117">
        <v>12721</v>
      </c>
      <c r="D35" s="118">
        <v>0.4691072872156139</v>
      </c>
      <c r="E35" s="117">
        <v>13214</v>
      </c>
      <c r="F35" s="118">
        <f t="shared" si="2"/>
        <v>3.8754814873044552E-2</v>
      </c>
      <c r="G35" s="117">
        <v>12647</v>
      </c>
      <c r="H35" s="118">
        <f t="shared" si="2"/>
        <v>-4.2909035871045886E-2</v>
      </c>
      <c r="I35" s="117">
        <v>17139</v>
      </c>
      <c r="J35" s="118">
        <f t="shared" si="2"/>
        <v>0.3551830473630111</v>
      </c>
      <c r="K35" s="117">
        <v>15337</v>
      </c>
      <c r="L35" s="118">
        <f t="shared" si="3"/>
        <v>-0.10514032323939548</v>
      </c>
    </row>
    <row r="36" spans="2:13" x14ac:dyDescent="0.25">
      <c r="B36" s="116" t="s">
        <v>86</v>
      </c>
      <c r="C36" s="117">
        <v>12409</v>
      </c>
      <c r="D36" s="118">
        <v>0.25040306328093509</v>
      </c>
      <c r="E36" s="117">
        <v>13066</v>
      </c>
      <c r="F36" s="118">
        <f t="shared" si="2"/>
        <v>5.2945442823757016E-2</v>
      </c>
      <c r="G36" s="117">
        <v>14875</v>
      </c>
      <c r="H36" s="118">
        <f t="shared" si="2"/>
        <v>0.13845094137455982</v>
      </c>
      <c r="I36" s="117">
        <v>16672</v>
      </c>
      <c r="J36" s="118">
        <f t="shared" si="2"/>
        <v>0.12080672268907566</v>
      </c>
      <c r="K36" s="117">
        <v>15216</v>
      </c>
      <c r="L36" s="118">
        <f t="shared" si="3"/>
        <v>-8.7332053742802285E-2</v>
      </c>
    </row>
    <row r="37" spans="2:13" x14ac:dyDescent="0.25">
      <c r="B37" s="116" t="s">
        <v>88</v>
      </c>
      <c r="C37" s="117">
        <v>12525</v>
      </c>
      <c r="D37" s="118">
        <v>0.26158340048348117</v>
      </c>
      <c r="E37" s="117">
        <v>12511</v>
      </c>
      <c r="F37" s="118">
        <f t="shared" si="2"/>
        <v>-1.117764471057936E-3</v>
      </c>
      <c r="G37" s="117">
        <v>16297</v>
      </c>
      <c r="H37" s="118">
        <f t="shared" si="2"/>
        <v>0.30261369994404919</v>
      </c>
      <c r="I37" s="117">
        <v>17909</v>
      </c>
      <c r="J37" s="118">
        <f t="shared" si="2"/>
        <v>9.8913910535681326E-2</v>
      </c>
      <c r="K37" s="117">
        <v>16731</v>
      </c>
      <c r="L37" s="118">
        <f t="shared" si="3"/>
        <v>-6.57769836395109E-2</v>
      </c>
    </row>
    <row r="38" spans="2:13" x14ac:dyDescent="0.25">
      <c r="B38" s="116" t="s">
        <v>90</v>
      </c>
      <c r="C38" s="117">
        <v>8882</v>
      </c>
      <c r="D38" s="118">
        <v>-3.2988568317909639E-2</v>
      </c>
      <c r="E38" s="117">
        <v>8822</v>
      </c>
      <c r="F38" s="118">
        <f t="shared" si="2"/>
        <v>-6.7552353073632165E-3</v>
      </c>
      <c r="G38" s="117">
        <v>9303</v>
      </c>
      <c r="H38" s="118">
        <f t="shared" si="2"/>
        <v>5.4522783949217946E-2</v>
      </c>
      <c r="I38" s="117">
        <v>10879</v>
      </c>
      <c r="J38" s="118">
        <f t="shared" si="2"/>
        <v>0.1694077179404494</v>
      </c>
      <c r="K38" s="117"/>
      <c r="L38" s="118"/>
    </row>
    <row r="39" spans="2:13" x14ac:dyDescent="0.25">
      <c r="B39" s="116" t="s">
        <v>92</v>
      </c>
      <c r="C39" s="117">
        <v>12859</v>
      </c>
      <c r="D39" s="118">
        <v>0.16129323579878996</v>
      </c>
      <c r="E39" s="117">
        <v>11310</v>
      </c>
      <c r="F39" s="118">
        <f t="shared" si="2"/>
        <v>-0.12046037794540787</v>
      </c>
      <c r="G39" s="117">
        <v>14314</v>
      </c>
      <c r="H39" s="118">
        <f t="shared" si="2"/>
        <v>0.26560565870910691</v>
      </c>
      <c r="I39" s="117">
        <v>15733</v>
      </c>
      <c r="J39" s="118">
        <f t="shared" si="2"/>
        <v>9.91337152438172E-2</v>
      </c>
      <c r="K39" s="117"/>
      <c r="L39" s="118"/>
    </row>
    <row r="40" spans="2:13" x14ac:dyDescent="0.25">
      <c r="B40" s="116" t="s">
        <v>94</v>
      </c>
      <c r="C40" s="117">
        <v>13163</v>
      </c>
      <c r="D40" s="118">
        <v>4.1211833570637513E-2</v>
      </c>
      <c r="E40" s="117">
        <v>13962</v>
      </c>
      <c r="F40" s="118">
        <f t="shared" si="2"/>
        <v>6.0700448226088222E-2</v>
      </c>
      <c r="G40" s="117">
        <v>12735</v>
      </c>
      <c r="H40" s="118">
        <f t="shared" si="2"/>
        <v>-8.7881392350666054E-2</v>
      </c>
      <c r="I40" s="117">
        <v>16739</v>
      </c>
      <c r="J40" s="118">
        <f t="shared" si="2"/>
        <v>0.3144091087553984</v>
      </c>
      <c r="K40" s="117"/>
      <c r="L40" s="118"/>
    </row>
    <row r="41" spans="2:13" x14ac:dyDescent="0.25">
      <c r="B41" s="116" t="s">
        <v>96</v>
      </c>
      <c r="C41" s="117">
        <v>13787</v>
      </c>
      <c r="D41" s="118">
        <v>3.4594026714693138E-2</v>
      </c>
      <c r="E41" s="117">
        <v>13695</v>
      </c>
      <c r="F41" s="118">
        <f t="shared" si="2"/>
        <v>-6.6729527816058454E-3</v>
      </c>
      <c r="G41" s="117">
        <v>14871</v>
      </c>
      <c r="H41" s="118">
        <f t="shared" si="2"/>
        <v>8.5870755750273808E-2</v>
      </c>
      <c r="I41" s="117">
        <v>15953</v>
      </c>
      <c r="J41" s="118">
        <f t="shared" si="2"/>
        <v>7.2759061260170732E-2</v>
      </c>
      <c r="K41" s="117"/>
      <c r="L41" s="118"/>
    </row>
    <row r="42" spans="2:13" x14ac:dyDescent="0.25">
      <c r="B42" s="116" t="s">
        <v>98</v>
      </c>
      <c r="C42" s="117">
        <v>10694</v>
      </c>
      <c r="D42" s="118">
        <v>9.6933018771156121E-2</v>
      </c>
      <c r="E42" s="117">
        <v>10449</v>
      </c>
      <c r="F42" s="118">
        <f t="shared" si="2"/>
        <v>-2.2910043014774617E-2</v>
      </c>
      <c r="G42" s="117">
        <v>13109</v>
      </c>
      <c r="H42" s="118">
        <f t="shared" si="2"/>
        <v>0.25456981529332956</v>
      </c>
      <c r="I42" s="117">
        <v>13465</v>
      </c>
      <c r="J42" s="118">
        <f t="shared" si="2"/>
        <v>2.7156915096498535E-2</v>
      </c>
      <c r="K42" s="117"/>
      <c r="L42" s="118"/>
    </row>
    <row r="43" spans="2:13" ht="15.75" x14ac:dyDescent="0.25">
      <c r="B43" s="119" t="s">
        <v>32</v>
      </c>
      <c r="C43" s="120">
        <v>134886</v>
      </c>
      <c r="D43" s="121">
        <v>0.29007144428397913</v>
      </c>
      <c r="E43" s="120">
        <v>147214</v>
      </c>
      <c r="F43" s="121">
        <f t="shared" si="2"/>
        <v>9.1395697107186757E-2</v>
      </c>
      <c r="G43" s="120">
        <v>155988</v>
      </c>
      <c r="H43" s="121">
        <f t="shared" si="2"/>
        <v>5.9600309753148561E-2</v>
      </c>
      <c r="I43" s="120">
        <v>178403</v>
      </c>
      <c r="J43" s="121">
        <f t="shared" si="2"/>
        <v>0.14369695104751656</v>
      </c>
      <c r="K43" s="120">
        <v>105943</v>
      </c>
      <c r="L43" s="121">
        <v>2.9251945396369106E-3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6" spans="2:13" x14ac:dyDescent="0.25">
      <c r="C46" s="122"/>
    </row>
    <row r="47" spans="2:13" x14ac:dyDescent="0.25">
      <c r="E47" s="122"/>
      <c r="G47" s="122"/>
      <c r="I47" s="125"/>
    </row>
    <row r="48" spans="2:13" ht="48.75" customHeight="1" thickBot="1" x14ac:dyDescent="0.3">
      <c r="B48" s="273" t="s">
        <v>247</v>
      </c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2"/>
      <c r="C50" s="298" t="s">
        <v>105</v>
      </c>
      <c r="D50" s="299"/>
      <c r="E50" s="299"/>
      <c r="F50" s="299"/>
      <c r="G50" s="299"/>
      <c r="H50" s="299"/>
      <c r="I50" s="299"/>
      <c r="J50" s="299"/>
      <c r="K50" s="299"/>
      <c r="L50" s="299"/>
    </row>
    <row r="51" spans="1:13" ht="22.5" thickTop="1" thickBot="1" x14ac:dyDescent="0.3">
      <c r="B51" s="112"/>
      <c r="C51" s="303">
        <f>C$7</f>
        <v>2022</v>
      </c>
      <c r="D51" s="301"/>
      <c r="E51" s="303">
        <f>E$7</f>
        <v>2023</v>
      </c>
      <c r="F51" s="301"/>
      <c r="G51" s="303">
        <f>G$7</f>
        <v>2024</v>
      </c>
      <c r="H51" s="301"/>
      <c r="I51" s="303">
        <f>I$7</f>
        <v>2025</v>
      </c>
      <c r="J51" s="301"/>
      <c r="K51" s="303">
        <f>K$7</f>
        <v>2026</v>
      </c>
      <c r="L51" s="301"/>
    </row>
    <row r="52" spans="1:13" ht="16.5" thickTop="1" thickBot="1" x14ac:dyDescent="0.3">
      <c r="B52" s="87"/>
      <c r="C52" s="113" t="s">
        <v>74</v>
      </c>
      <c r="D52" s="114" t="str">
        <f>CONCATENATE("var ",RIGHT(C51,2),"/",RIGHT(C51-1,2))</f>
        <v>var 22/21</v>
      </c>
      <c r="E52" s="115" t="s">
        <v>74</v>
      </c>
      <c r="F52" s="114" t="str">
        <f>CONCATENATE("var ",RIGHT(E51,2),"/",RIGHT(E51-1,2))</f>
        <v>var 23/22</v>
      </c>
      <c r="G52" s="115" t="s">
        <v>74</v>
      </c>
      <c r="H52" s="114" t="str">
        <f>CONCATENATE("var ",RIGHT(G51,2),"/",RIGHT(G51-1,2))</f>
        <v>var 24/23</v>
      </c>
      <c r="I52" s="115" t="s">
        <v>74</v>
      </c>
      <c r="J52" s="114" t="str">
        <f>CONCATENATE("var ",RIGHT(I51,2),"/",RIGHT(I51-1,2))</f>
        <v>var 25/24</v>
      </c>
      <c r="K52" s="115" t="s">
        <v>74</v>
      </c>
      <c r="L52" s="114" t="str">
        <f>CONCATENATE("var ",RIGHT(K51,2),"/",RIGHT(K51-1,2))</f>
        <v>var 26/25</v>
      </c>
    </row>
    <row r="53" spans="1:13" x14ac:dyDescent="0.25">
      <c r="A53" s="1">
        <v>1</v>
      </c>
      <c r="B53" s="116" t="s">
        <v>76</v>
      </c>
      <c r="C53" s="117">
        <v>3917</v>
      </c>
      <c r="D53" s="118">
        <v>1.7740793201133145</v>
      </c>
      <c r="E53" s="117">
        <v>5450</v>
      </c>
      <c r="F53" s="118">
        <f>IFERROR(E53/C53-1,"-")</f>
        <v>0.39137094715343368</v>
      </c>
      <c r="G53" s="117">
        <v>6531</v>
      </c>
      <c r="H53" s="118">
        <f>IFERROR(G53/E53-1,"-")</f>
        <v>0.19834862385321106</v>
      </c>
      <c r="I53" s="117">
        <v>7025</v>
      </c>
      <c r="J53" s="118">
        <f>IFERROR(I53/G53-1,"-")</f>
        <v>7.5639258919001584E-2</v>
      </c>
      <c r="K53" s="117">
        <v>7706</v>
      </c>
      <c r="L53" s="118">
        <f t="shared" ref="L53:L59" si="4">IFERROR(K53/I53-1,"-")</f>
        <v>9.6939501779359505E-2</v>
      </c>
    </row>
    <row r="54" spans="1:13" x14ac:dyDescent="0.25">
      <c r="A54" s="1">
        <v>2</v>
      </c>
      <c r="B54" s="116" t="s">
        <v>78</v>
      </c>
      <c r="C54" s="117">
        <v>4988</v>
      </c>
      <c r="D54" s="118">
        <v>1.2745098039215685</v>
      </c>
      <c r="E54" s="117">
        <v>6445</v>
      </c>
      <c r="F54" s="118">
        <f t="shared" ref="F54:J65" si="5">IFERROR(E54/C54-1,"-")</f>
        <v>0.29210104250200475</v>
      </c>
      <c r="G54" s="117">
        <v>6868</v>
      </c>
      <c r="H54" s="118">
        <f t="shared" si="5"/>
        <v>6.5632273079906822E-2</v>
      </c>
      <c r="I54" s="117">
        <v>7367</v>
      </c>
      <c r="J54" s="118">
        <f t="shared" si="5"/>
        <v>7.2655794991263845E-2</v>
      </c>
      <c r="K54" s="117">
        <v>8028</v>
      </c>
      <c r="L54" s="118">
        <f t="shared" si="4"/>
        <v>8.9724446857608164E-2</v>
      </c>
    </row>
    <row r="55" spans="1:13" x14ac:dyDescent="0.25">
      <c r="A55" s="1">
        <v>3</v>
      </c>
      <c r="B55" s="116" t="s">
        <v>80</v>
      </c>
      <c r="C55" s="117">
        <v>6328</v>
      </c>
      <c r="D55" s="118">
        <v>1.346310715609937</v>
      </c>
      <c r="E55" s="117">
        <v>8798</v>
      </c>
      <c r="F55" s="118">
        <f t="shared" si="5"/>
        <v>0.3903286978508218</v>
      </c>
      <c r="G55" s="117">
        <v>6861</v>
      </c>
      <c r="H55" s="118">
        <f t="shared" si="5"/>
        <v>-0.22016367356217326</v>
      </c>
      <c r="I55" s="117">
        <v>7666</v>
      </c>
      <c r="J55" s="118">
        <f t="shared" si="5"/>
        <v>0.11732983530097663</v>
      </c>
      <c r="K55" s="117">
        <v>8588</v>
      </c>
      <c r="L55" s="118">
        <f t="shared" si="4"/>
        <v>0.12027132794156015</v>
      </c>
    </row>
    <row r="56" spans="1:13" x14ac:dyDescent="0.25">
      <c r="A56" s="1">
        <v>4</v>
      </c>
      <c r="B56" s="116" t="s">
        <v>82</v>
      </c>
      <c r="C56" s="117">
        <v>4470</v>
      </c>
      <c r="D56" s="118">
        <v>0.41321530192854894</v>
      </c>
      <c r="E56" s="117">
        <v>6595</v>
      </c>
      <c r="F56" s="118">
        <f t="shared" si="5"/>
        <v>0.47539149888143184</v>
      </c>
      <c r="G56" s="117">
        <v>7072</v>
      </c>
      <c r="H56" s="118">
        <f t="shared" si="5"/>
        <v>7.232752084912808E-2</v>
      </c>
      <c r="I56" s="117">
        <v>6138</v>
      </c>
      <c r="J56" s="118">
        <f t="shared" si="5"/>
        <v>-0.13207013574660631</v>
      </c>
      <c r="K56" s="117">
        <v>6621</v>
      </c>
      <c r="L56" s="118">
        <f t="shared" si="4"/>
        <v>7.8690127077223782E-2</v>
      </c>
    </row>
    <row r="57" spans="1:13" x14ac:dyDescent="0.25">
      <c r="A57" s="1">
        <v>5</v>
      </c>
      <c r="B57" s="116" t="s">
        <v>84</v>
      </c>
      <c r="C57" s="117">
        <v>6157</v>
      </c>
      <c r="D57" s="118">
        <v>0.56706541104606778</v>
      </c>
      <c r="E57" s="117">
        <v>6899</v>
      </c>
      <c r="F57" s="118">
        <f t="shared" si="5"/>
        <v>0.12051323696605487</v>
      </c>
      <c r="G57" s="117">
        <v>6981</v>
      </c>
      <c r="H57" s="118">
        <f t="shared" si="5"/>
        <v>1.1885780547905567E-2</v>
      </c>
      <c r="I57" s="117">
        <v>7712</v>
      </c>
      <c r="J57" s="118">
        <f t="shared" si="5"/>
        <v>0.10471279186362992</v>
      </c>
      <c r="K57" s="117">
        <v>7342</v>
      </c>
      <c r="L57" s="118">
        <f t="shared" si="4"/>
        <v>-4.7977178423236566E-2</v>
      </c>
    </row>
    <row r="58" spans="1:13" x14ac:dyDescent="0.25">
      <c r="A58" s="1">
        <v>6</v>
      </c>
      <c r="B58" s="116" t="s">
        <v>86</v>
      </c>
      <c r="C58" s="117">
        <v>5602</v>
      </c>
      <c r="D58" s="118">
        <v>0.27347124346442375</v>
      </c>
      <c r="E58" s="117">
        <v>6717</v>
      </c>
      <c r="F58" s="118">
        <f t="shared" si="5"/>
        <v>0.19903605855051776</v>
      </c>
      <c r="G58" s="117">
        <v>7542</v>
      </c>
      <c r="H58" s="118">
        <f t="shared" si="5"/>
        <v>0.12282268870031254</v>
      </c>
      <c r="I58" s="117">
        <v>7773</v>
      </c>
      <c r="J58" s="118">
        <f t="shared" si="5"/>
        <v>3.0628480509148792E-2</v>
      </c>
      <c r="K58" s="117">
        <v>7037</v>
      </c>
      <c r="L58" s="118">
        <f t="shared" si="4"/>
        <v>-9.4686736137913341E-2</v>
      </c>
    </row>
    <row r="59" spans="1:13" x14ac:dyDescent="0.25">
      <c r="A59" s="1">
        <v>7</v>
      </c>
      <c r="B59" s="116" t="s">
        <v>88</v>
      </c>
      <c r="C59" s="117">
        <v>5240</v>
      </c>
      <c r="D59" s="118">
        <v>-1.5962441314554043E-2</v>
      </c>
      <c r="E59" s="117">
        <v>7120</v>
      </c>
      <c r="F59" s="118">
        <f t="shared" si="5"/>
        <v>0.35877862595419852</v>
      </c>
      <c r="G59" s="117">
        <v>6419</v>
      </c>
      <c r="H59" s="118">
        <f t="shared" si="5"/>
        <v>-9.8455056179775235E-2</v>
      </c>
      <c r="I59" s="117">
        <v>6727</v>
      </c>
      <c r="J59" s="118">
        <f t="shared" si="5"/>
        <v>4.7982551799345741E-2</v>
      </c>
      <c r="K59" s="117">
        <v>5405</v>
      </c>
      <c r="L59" s="118">
        <f t="shared" si="4"/>
        <v>-0.19652148060056485</v>
      </c>
    </row>
    <row r="60" spans="1:13" x14ac:dyDescent="0.25">
      <c r="A60" s="1">
        <v>8</v>
      </c>
      <c r="B60" s="116" t="s">
        <v>90</v>
      </c>
      <c r="C60" s="117">
        <v>3658</v>
      </c>
      <c r="D60" s="118">
        <v>-0.27290797058238914</v>
      </c>
      <c r="E60" s="117">
        <v>4888</v>
      </c>
      <c r="F60" s="118">
        <f t="shared" si="5"/>
        <v>0.33624931656642976</v>
      </c>
      <c r="G60" s="117">
        <v>3964</v>
      </c>
      <c r="H60" s="118">
        <f t="shared" si="5"/>
        <v>-0.18903436988543376</v>
      </c>
      <c r="I60" s="117">
        <v>4144</v>
      </c>
      <c r="J60" s="118">
        <f t="shared" si="5"/>
        <v>4.540867810292637E-2</v>
      </c>
      <c r="K60" s="117"/>
      <c r="L60" s="118"/>
    </row>
    <row r="61" spans="1:13" x14ac:dyDescent="0.25">
      <c r="A61" s="1">
        <v>9</v>
      </c>
      <c r="B61" s="116" t="s">
        <v>92</v>
      </c>
      <c r="C61" s="117">
        <v>6176</v>
      </c>
      <c r="D61" s="118">
        <v>7.539613442451687E-2</v>
      </c>
      <c r="E61" s="117">
        <v>6477</v>
      </c>
      <c r="F61" s="118">
        <f t="shared" si="5"/>
        <v>4.8737046632124414E-2</v>
      </c>
      <c r="G61" s="117">
        <v>6205</v>
      </c>
      <c r="H61" s="118">
        <f t="shared" si="5"/>
        <v>-4.1994750656167978E-2</v>
      </c>
      <c r="I61" s="117">
        <v>7462</v>
      </c>
      <c r="J61" s="118">
        <f t="shared" si="5"/>
        <v>0.20257856567284449</v>
      </c>
      <c r="K61" s="117"/>
      <c r="L61" s="118"/>
    </row>
    <row r="62" spans="1:13" x14ac:dyDescent="0.25">
      <c r="A62" s="1">
        <v>10</v>
      </c>
      <c r="B62" s="116" t="s">
        <v>94</v>
      </c>
      <c r="C62" s="117">
        <v>6564</v>
      </c>
      <c r="D62" s="118">
        <v>7.8363725973385812E-2</v>
      </c>
      <c r="E62" s="117">
        <v>7061</v>
      </c>
      <c r="F62" s="118">
        <f t="shared" si="5"/>
        <v>7.5716026812918891E-2</v>
      </c>
      <c r="G62" s="117">
        <v>7713</v>
      </c>
      <c r="H62" s="118">
        <f t="shared" si="5"/>
        <v>9.2338195722985406E-2</v>
      </c>
      <c r="I62" s="117">
        <v>8287</v>
      </c>
      <c r="J62" s="118">
        <f t="shared" si="5"/>
        <v>7.4419810709192236E-2</v>
      </c>
      <c r="K62" s="117"/>
      <c r="L62" s="118"/>
    </row>
    <row r="63" spans="1:13" x14ac:dyDescent="0.25">
      <c r="A63" s="1">
        <v>11</v>
      </c>
      <c r="B63" s="116" t="s">
        <v>96</v>
      </c>
      <c r="C63" s="117">
        <v>6965</v>
      </c>
      <c r="D63" s="118">
        <v>6.502890173410325E-3</v>
      </c>
      <c r="E63" s="117">
        <v>8507</v>
      </c>
      <c r="F63" s="118">
        <f t="shared" si="5"/>
        <v>0.22139267767408466</v>
      </c>
      <c r="G63" s="117">
        <v>8717</v>
      </c>
      <c r="H63" s="118">
        <f t="shared" si="5"/>
        <v>2.4685553073939159E-2</v>
      </c>
      <c r="I63" s="117">
        <v>8655</v>
      </c>
      <c r="J63" s="118">
        <f t="shared" si="5"/>
        <v>-7.1125387174486576E-3</v>
      </c>
      <c r="K63" s="117"/>
      <c r="L63" s="118"/>
    </row>
    <row r="64" spans="1:13" x14ac:dyDescent="0.25">
      <c r="A64" s="1">
        <v>12</v>
      </c>
      <c r="B64" s="116" t="s">
        <v>98</v>
      </c>
      <c r="C64" s="117">
        <v>4956</v>
      </c>
      <c r="D64" s="118">
        <v>0.12355474948991163</v>
      </c>
      <c r="E64" s="117">
        <v>5232</v>
      </c>
      <c r="F64" s="118">
        <f t="shared" si="5"/>
        <v>5.5690072639225097E-2</v>
      </c>
      <c r="G64" s="117">
        <v>5927</v>
      </c>
      <c r="H64" s="118">
        <f t="shared" si="5"/>
        <v>0.13283639143730896</v>
      </c>
      <c r="I64" s="117">
        <v>5985</v>
      </c>
      <c r="J64" s="118">
        <f t="shared" si="5"/>
        <v>9.785726337101508E-3</v>
      </c>
      <c r="K64" s="117"/>
      <c r="L64" s="118"/>
    </row>
    <row r="65" spans="1:13" ht="15.75" x14ac:dyDescent="0.25">
      <c r="B65" s="119" t="s">
        <v>32</v>
      </c>
      <c r="C65" s="120">
        <v>65021</v>
      </c>
      <c r="D65" s="121">
        <v>0.26721886571818354</v>
      </c>
      <c r="E65" s="120">
        <v>80189</v>
      </c>
      <c r="F65" s="121">
        <f t="shared" si="5"/>
        <v>0.23327847926054668</v>
      </c>
      <c r="G65" s="120">
        <v>80800</v>
      </c>
      <c r="H65" s="121">
        <f t="shared" si="5"/>
        <v>7.6194989337690089E-3</v>
      </c>
      <c r="I65" s="120">
        <v>84941</v>
      </c>
      <c r="J65" s="121">
        <f t="shared" si="5"/>
        <v>5.1250000000000018E-2</v>
      </c>
      <c r="K65" s="120">
        <v>50727</v>
      </c>
      <c r="L65" s="121">
        <v>6.328360577686043E-3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68" spans="1:13" x14ac:dyDescent="0.25">
      <c r="C68" s="122"/>
    </row>
    <row r="70" spans="1:13" ht="48.75" customHeight="1" thickBot="1" x14ac:dyDescent="0.3">
      <c r="B70" s="273" t="s">
        <v>248</v>
      </c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2"/>
      <c r="C72" s="298" t="s">
        <v>108</v>
      </c>
      <c r="D72" s="299"/>
      <c r="E72" s="299"/>
      <c r="F72" s="299"/>
      <c r="G72" s="299"/>
      <c r="H72" s="299"/>
      <c r="I72" s="299"/>
      <c r="J72" s="299"/>
      <c r="K72" s="299"/>
      <c r="L72" s="299"/>
    </row>
    <row r="73" spans="1:13" ht="22.5" thickTop="1" thickBot="1" x14ac:dyDescent="0.3">
      <c r="B73" s="112"/>
      <c r="C73" s="303">
        <f>C$7</f>
        <v>2022</v>
      </c>
      <c r="D73" s="301"/>
      <c r="E73" s="303">
        <f>E$7</f>
        <v>2023</v>
      </c>
      <c r="F73" s="301"/>
      <c r="G73" s="303">
        <f>G$7</f>
        <v>2024</v>
      </c>
      <c r="H73" s="301"/>
      <c r="I73" s="303">
        <f>I$7</f>
        <v>2025</v>
      </c>
      <c r="J73" s="301"/>
      <c r="K73" s="303">
        <f>K$7</f>
        <v>2026</v>
      </c>
      <c r="L73" s="301"/>
    </row>
    <row r="74" spans="1:13" ht="16.5" thickTop="1" thickBot="1" x14ac:dyDescent="0.3">
      <c r="B74" s="87"/>
      <c r="C74" s="113" t="s">
        <v>74</v>
      </c>
      <c r="D74" s="114" t="str">
        <f>CONCATENATE("var ",RIGHT(C73,2),"/",RIGHT(C73-1,2))</f>
        <v>var 22/21</v>
      </c>
      <c r="E74" s="115" t="s">
        <v>74</v>
      </c>
      <c r="F74" s="114" t="str">
        <f>CONCATENATE("var ",RIGHT(E73,2),"/",RIGHT(E73-1,2))</f>
        <v>var 23/22</v>
      </c>
      <c r="G74" s="115" t="s">
        <v>74</v>
      </c>
      <c r="H74" s="114" t="str">
        <f>CONCATENATE("var ",RIGHT(G73,2),"/",RIGHT(G73-1,2))</f>
        <v>var 24/23</v>
      </c>
      <c r="I74" s="115" t="s">
        <v>74</v>
      </c>
      <c r="J74" s="114" t="str">
        <f>CONCATENATE("var ",RIGHT(I73,2),"/",RIGHT(I73-1,2))</f>
        <v>var 25/24</v>
      </c>
      <c r="K74" s="115" t="s">
        <v>74</v>
      </c>
      <c r="L74" s="114" t="str">
        <f>CONCATENATE("var ",RIGHT(K73,2),"/",RIGHT(K73-1,2))</f>
        <v>var 26/25</v>
      </c>
    </row>
    <row r="75" spans="1:13" x14ac:dyDescent="0.25">
      <c r="A75" s="1">
        <v>1</v>
      </c>
      <c r="B75" s="116" t="s">
        <v>76</v>
      </c>
      <c r="C75" s="117">
        <v>2656</v>
      </c>
      <c r="D75" s="118">
        <v>1.2394603709949408</v>
      </c>
      <c r="E75" s="117">
        <v>5002</v>
      </c>
      <c r="F75" s="118">
        <f>IFERROR(E75/C75-1,"-")</f>
        <v>0.88328313253012047</v>
      </c>
      <c r="G75" s="117">
        <v>4791</v>
      </c>
      <c r="H75" s="118">
        <f>IFERROR(G75/E75-1,"-")</f>
        <v>-4.2183126749300248E-2</v>
      </c>
      <c r="I75" s="117">
        <v>4891</v>
      </c>
      <c r="J75" s="118">
        <f>IFERROR(I75/G75-1,"-")</f>
        <v>2.0872469213107925E-2</v>
      </c>
      <c r="K75" s="117">
        <v>6126</v>
      </c>
      <c r="L75" s="118">
        <f t="shared" ref="L75:L81" si="6">IFERROR(K75/I75-1,"-")</f>
        <v>0.25250460028624011</v>
      </c>
    </row>
    <row r="76" spans="1:13" x14ac:dyDescent="0.25">
      <c r="A76" s="1">
        <v>2</v>
      </c>
      <c r="B76" s="116" t="s">
        <v>78</v>
      </c>
      <c r="C76" s="117">
        <v>4007</v>
      </c>
      <c r="D76" s="118">
        <v>0.39325452016689844</v>
      </c>
      <c r="E76" s="117">
        <v>5638</v>
      </c>
      <c r="F76" s="118">
        <f t="shared" ref="F76:J87" si="7">IFERROR(E76/C76-1,"-")</f>
        <v>0.40703768405290752</v>
      </c>
      <c r="G76" s="117">
        <v>5012</v>
      </c>
      <c r="H76" s="118">
        <f t="shared" si="7"/>
        <v>-0.11103228095069173</v>
      </c>
      <c r="I76" s="117">
        <v>6097</v>
      </c>
      <c r="J76" s="118">
        <f t="shared" si="7"/>
        <v>0.21648044692737423</v>
      </c>
      <c r="K76" s="117">
        <v>6836</v>
      </c>
      <c r="L76" s="118">
        <f t="shared" si="6"/>
        <v>0.12120715105789737</v>
      </c>
    </row>
    <row r="77" spans="1:13" x14ac:dyDescent="0.25">
      <c r="A77" s="1">
        <v>3</v>
      </c>
      <c r="B77" s="116" t="s">
        <v>80</v>
      </c>
      <c r="C77" s="117">
        <v>5247</v>
      </c>
      <c r="D77" s="118">
        <v>0.51036269430051817</v>
      </c>
      <c r="E77" s="117">
        <v>6582</v>
      </c>
      <c r="F77" s="118">
        <f t="shared" si="7"/>
        <v>0.25443110348770737</v>
      </c>
      <c r="G77" s="117">
        <v>5942</v>
      </c>
      <c r="H77" s="118">
        <f t="shared" si="7"/>
        <v>-9.7234883014281404E-2</v>
      </c>
      <c r="I77" s="117">
        <v>7976</v>
      </c>
      <c r="J77" s="118">
        <f t="shared" si="7"/>
        <v>0.34230898687310662</v>
      </c>
      <c r="K77" s="117">
        <v>7344</v>
      </c>
      <c r="L77" s="118">
        <f t="shared" si="6"/>
        <v>-7.9237713139418298E-2</v>
      </c>
    </row>
    <row r="78" spans="1:13" x14ac:dyDescent="0.25">
      <c r="A78" s="1">
        <v>4</v>
      </c>
      <c r="B78" s="116" t="s">
        <v>82</v>
      </c>
      <c r="C78" s="117">
        <v>6233</v>
      </c>
      <c r="D78" s="118">
        <v>1.0302931596091205</v>
      </c>
      <c r="E78" s="117">
        <v>5675</v>
      </c>
      <c r="F78" s="118">
        <f t="shared" si="7"/>
        <v>-8.9523503930691528E-2</v>
      </c>
      <c r="G78" s="117">
        <v>4760</v>
      </c>
      <c r="H78" s="118">
        <f t="shared" si="7"/>
        <v>-0.16123348017621142</v>
      </c>
      <c r="I78" s="117">
        <v>6754</v>
      </c>
      <c r="J78" s="118">
        <f t="shared" si="7"/>
        <v>0.41890756302521015</v>
      </c>
      <c r="K78" s="117">
        <v>7410</v>
      </c>
      <c r="L78" s="118">
        <f t="shared" si="6"/>
        <v>9.7127628072253502E-2</v>
      </c>
    </row>
    <row r="79" spans="1:13" x14ac:dyDescent="0.25">
      <c r="A79" s="1">
        <v>5</v>
      </c>
      <c r="B79" s="116" t="s">
        <v>84</v>
      </c>
      <c r="C79" s="117">
        <v>6564</v>
      </c>
      <c r="D79" s="118">
        <v>0.38773784355179708</v>
      </c>
      <c r="E79" s="117">
        <v>6315</v>
      </c>
      <c r="F79" s="118">
        <f t="shared" si="7"/>
        <v>-3.7934186471663578E-2</v>
      </c>
      <c r="G79" s="117">
        <v>5666</v>
      </c>
      <c r="H79" s="118">
        <f t="shared" si="7"/>
        <v>-0.10277117973079963</v>
      </c>
      <c r="I79" s="117">
        <v>9427</v>
      </c>
      <c r="J79" s="118">
        <f t="shared" si="7"/>
        <v>0.66378397458524541</v>
      </c>
      <c r="K79" s="117">
        <v>7995</v>
      </c>
      <c r="L79" s="118">
        <f t="shared" si="6"/>
        <v>-0.15190410522965947</v>
      </c>
    </row>
    <row r="80" spans="1:13" x14ac:dyDescent="0.25">
      <c r="A80" s="1">
        <v>6</v>
      </c>
      <c r="B80" s="116" t="s">
        <v>86</v>
      </c>
      <c r="C80" s="117">
        <v>6807</v>
      </c>
      <c r="D80" s="118">
        <v>0.2320361990950226</v>
      </c>
      <c r="E80" s="117">
        <v>6349</v>
      </c>
      <c r="F80" s="118">
        <f t="shared" si="7"/>
        <v>-6.7283678566181893E-2</v>
      </c>
      <c r="G80" s="117">
        <v>7333</v>
      </c>
      <c r="H80" s="118">
        <f t="shared" si="7"/>
        <v>0.15498503701370292</v>
      </c>
      <c r="I80" s="117">
        <v>8899</v>
      </c>
      <c r="J80" s="118">
        <f t="shared" si="7"/>
        <v>0.21355516159825449</v>
      </c>
      <c r="K80" s="117">
        <v>8179</v>
      </c>
      <c r="L80" s="118">
        <f t="shared" si="6"/>
        <v>-8.0907967187324403E-2</v>
      </c>
    </row>
    <row r="81" spans="1:13" x14ac:dyDescent="0.25">
      <c r="A81" s="1">
        <v>7</v>
      </c>
      <c r="B81" s="116" t="s">
        <v>88</v>
      </c>
      <c r="C81" s="117">
        <v>7285</v>
      </c>
      <c r="D81" s="118">
        <v>0.58266348033890947</v>
      </c>
      <c r="E81" s="117">
        <v>5391</v>
      </c>
      <c r="F81" s="118">
        <f t="shared" si="7"/>
        <v>-0.25998627316403566</v>
      </c>
      <c r="G81" s="117">
        <v>9878</v>
      </c>
      <c r="H81" s="118">
        <f t="shared" si="7"/>
        <v>0.83231311445000933</v>
      </c>
      <c r="I81" s="117">
        <v>11182</v>
      </c>
      <c r="J81" s="118">
        <f t="shared" si="7"/>
        <v>0.13201052844705408</v>
      </c>
      <c r="K81" s="117">
        <v>11326</v>
      </c>
      <c r="L81" s="118">
        <f t="shared" si="6"/>
        <v>1.2877839384725531E-2</v>
      </c>
    </row>
    <row r="82" spans="1:13" x14ac:dyDescent="0.25">
      <c r="A82" s="1">
        <v>8</v>
      </c>
      <c r="B82" s="116" t="s">
        <v>90</v>
      </c>
      <c r="C82" s="117">
        <v>5224</v>
      </c>
      <c r="D82" s="118">
        <v>0.25758305247953772</v>
      </c>
      <c r="E82" s="117">
        <v>3934</v>
      </c>
      <c r="F82" s="118">
        <f t="shared" si="7"/>
        <v>-0.24693721286370596</v>
      </c>
      <c r="G82" s="117">
        <v>5339</v>
      </c>
      <c r="H82" s="118">
        <f t="shared" si="7"/>
        <v>0.35714285714285721</v>
      </c>
      <c r="I82" s="117">
        <v>6735</v>
      </c>
      <c r="J82" s="118">
        <f t="shared" si="7"/>
        <v>0.2614721858025848</v>
      </c>
      <c r="K82" s="117"/>
      <c r="L82" s="118"/>
    </row>
    <row r="83" spans="1:13" x14ac:dyDescent="0.25">
      <c r="A83" s="1">
        <v>9</v>
      </c>
      <c r="B83" s="116" t="s">
        <v>92</v>
      </c>
      <c r="C83" s="117">
        <v>6683</v>
      </c>
      <c r="D83" s="118">
        <v>0.25384615384615383</v>
      </c>
      <c r="E83" s="117">
        <v>4833</v>
      </c>
      <c r="F83" s="118">
        <f t="shared" si="7"/>
        <v>-0.27682178662277424</v>
      </c>
      <c r="G83" s="117">
        <v>8109</v>
      </c>
      <c r="H83" s="118">
        <f t="shared" si="7"/>
        <v>0.67783985102420852</v>
      </c>
      <c r="I83" s="117">
        <v>8271</v>
      </c>
      <c r="J83" s="118">
        <f t="shared" si="7"/>
        <v>1.9977802441731418E-2</v>
      </c>
      <c r="K83" s="117"/>
      <c r="L83" s="118"/>
    </row>
    <row r="84" spans="1:13" x14ac:dyDescent="0.25">
      <c r="A84" s="1">
        <v>10</v>
      </c>
      <c r="B84" s="116" t="s">
        <v>94</v>
      </c>
      <c r="C84" s="117">
        <v>6599</v>
      </c>
      <c r="D84" s="118">
        <v>6.7124332570556167E-3</v>
      </c>
      <c r="E84" s="117">
        <v>6901</v>
      </c>
      <c r="F84" s="118">
        <f t="shared" si="7"/>
        <v>4.5764509774208317E-2</v>
      </c>
      <c r="G84" s="117">
        <v>5022</v>
      </c>
      <c r="H84" s="118">
        <f t="shared" si="7"/>
        <v>-0.27227937980002903</v>
      </c>
      <c r="I84" s="117">
        <v>8452</v>
      </c>
      <c r="J84" s="118">
        <f t="shared" si="7"/>
        <v>0.68299482277976908</v>
      </c>
      <c r="K84" s="117"/>
      <c r="L84" s="118"/>
    </row>
    <row r="85" spans="1:13" x14ac:dyDescent="0.25">
      <c r="A85" s="1">
        <v>11</v>
      </c>
      <c r="B85" s="116" t="s">
        <v>96</v>
      </c>
      <c r="C85" s="117">
        <v>6822</v>
      </c>
      <c r="D85" s="118">
        <v>6.4939119575398108E-2</v>
      </c>
      <c r="E85" s="117">
        <v>5188</v>
      </c>
      <c r="F85" s="118">
        <f t="shared" si="7"/>
        <v>-0.23951920257988857</v>
      </c>
      <c r="G85" s="117">
        <v>6154</v>
      </c>
      <c r="H85" s="118">
        <f t="shared" si="7"/>
        <v>0.18619892058596754</v>
      </c>
      <c r="I85" s="117">
        <v>7298</v>
      </c>
      <c r="J85" s="118">
        <f t="shared" si="7"/>
        <v>0.18589535261618462</v>
      </c>
      <c r="K85" s="117"/>
      <c r="L85" s="118"/>
    </row>
    <row r="86" spans="1:13" x14ac:dyDescent="0.25">
      <c r="A86" s="1">
        <v>12</v>
      </c>
      <c r="B86" s="116" t="s">
        <v>98</v>
      </c>
      <c r="C86" s="117">
        <v>5738</v>
      </c>
      <c r="D86" s="118">
        <v>7.4934432371674742E-2</v>
      </c>
      <c r="E86" s="117">
        <v>5217</v>
      </c>
      <c r="F86" s="118">
        <f t="shared" si="7"/>
        <v>-9.079818752178459E-2</v>
      </c>
      <c r="G86" s="117">
        <v>7182</v>
      </c>
      <c r="H86" s="118">
        <f t="shared" si="7"/>
        <v>0.37665324899367447</v>
      </c>
      <c r="I86" s="117">
        <v>7480</v>
      </c>
      <c r="J86" s="118">
        <f t="shared" si="7"/>
        <v>4.1492620439988803E-2</v>
      </c>
      <c r="K86" s="117"/>
      <c r="L86" s="118"/>
    </row>
    <row r="87" spans="1:13" ht="15.75" x14ac:dyDescent="0.25">
      <c r="B87" s="119" t="s">
        <v>32</v>
      </c>
      <c r="C87" s="120">
        <v>69865</v>
      </c>
      <c r="D87" s="121">
        <v>0.31209270005821921</v>
      </c>
      <c r="E87" s="120">
        <v>67025</v>
      </c>
      <c r="F87" s="121">
        <f t="shared" si="7"/>
        <v>-4.0649824661847855E-2</v>
      </c>
      <c r="G87" s="120">
        <v>75188</v>
      </c>
      <c r="H87" s="121">
        <f t="shared" si="7"/>
        <v>0.12179037672510251</v>
      </c>
      <c r="I87" s="120">
        <v>93462</v>
      </c>
      <c r="J87" s="121">
        <f t="shared" si="7"/>
        <v>0.24304410278235888</v>
      </c>
      <c r="K87" s="120">
        <v>55216</v>
      </c>
      <c r="L87" s="121">
        <v>-1.8107413174950349E-4</v>
      </c>
    </row>
    <row r="88" spans="1:13" ht="6" customHeight="1" x14ac:dyDescent="0.25"/>
    <row r="89" spans="1:13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0" spans="1:13" x14ac:dyDescent="0.25">
      <c r="C90" s="122"/>
    </row>
    <row r="92" spans="1:13" ht="48.75" customHeight="1" thickBot="1" x14ac:dyDescent="0.3">
      <c r="B92" s="273" t="s">
        <v>249</v>
      </c>
      <c r="C92" s="273"/>
      <c r="D92" s="273"/>
      <c r="E92" s="273"/>
      <c r="F92" s="273"/>
      <c r="G92" s="273"/>
      <c r="H92" s="273"/>
      <c r="I92" s="273"/>
      <c r="J92" s="273"/>
      <c r="K92" s="273"/>
      <c r="L92" s="273"/>
      <c r="M92" s="1" t="s">
        <v>109</v>
      </c>
    </row>
    <row r="93" spans="1:13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M93" s="1" t="s">
        <v>110</v>
      </c>
    </row>
    <row r="94" spans="1:13" ht="22.5" thickTop="1" thickBot="1" x14ac:dyDescent="0.3">
      <c r="B94" s="123" t="s">
        <v>111</v>
      </c>
      <c r="C94" s="298" t="s">
        <v>112</v>
      </c>
      <c r="D94" s="299"/>
      <c r="E94" s="299"/>
      <c r="F94" s="299"/>
      <c r="G94" s="299"/>
      <c r="H94" s="299"/>
      <c r="I94" s="299"/>
      <c r="J94" s="299"/>
      <c r="K94" s="299"/>
      <c r="L94" s="299"/>
    </row>
    <row r="95" spans="1:13" ht="22.5" thickTop="1" thickBot="1" x14ac:dyDescent="0.3">
      <c r="B95" s="112"/>
      <c r="C95" s="303">
        <f>C$7</f>
        <v>2022</v>
      </c>
      <c r="D95" s="301"/>
      <c r="E95" s="303">
        <f>E$7</f>
        <v>2023</v>
      </c>
      <c r="F95" s="301"/>
      <c r="G95" s="303">
        <f>G$7</f>
        <v>2024</v>
      </c>
      <c r="H95" s="301"/>
      <c r="I95" s="303">
        <f>I$7</f>
        <v>2025</v>
      </c>
      <c r="J95" s="301"/>
      <c r="K95" s="303">
        <f>K$7</f>
        <v>2026</v>
      </c>
      <c r="L95" s="301"/>
    </row>
    <row r="96" spans="1:13" ht="16.5" thickTop="1" thickBot="1" x14ac:dyDescent="0.3">
      <c r="B96" s="87"/>
      <c r="C96" s="113" t="s">
        <v>74</v>
      </c>
      <c r="D96" s="114" t="str">
        <f>CONCATENATE("var ",RIGHT(C95,2),"/",RIGHT(C95-1,2))</f>
        <v>var 22/21</v>
      </c>
      <c r="E96" s="115" t="s">
        <v>74</v>
      </c>
      <c r="F96" s="114" t="str">
        <f>CONCATENATE("var ",RIGHT(E95,2),"/",RIGHT(E95-1,2))</f>
        <v>var 23/22</v>
      </c>
      <c r="G96" s="115" t="s">
        <v>74</v>
      </c>
      <c r="H96" s="114" t="str">
        <f>CONCATENATE("var ",RIGHT(G95,2),"/",RIGHT(G95-1,2))</f>
        <v>var 24/23</v>
      </c>
      <c r="I96" s="115" t="s">
        <v>74</v>
      </c>
      <c r="J96" s="114" t="str">
        <f>CONCATENATE("var ",RIGHT(I95,2),"/",RIGHT(I95-1,2))</f>
        <v>var 25/24</v>
      </c>
      <c r="K96" s="115" t="s">
        <v>74</v>
      </c>
      <c r="L96" s="114" t="str">
        <f>CONCATENATE("var ",RIGHT(K95,2),"/",RIGHT(K95-1,2))</f>
        <v>var 26/25</v>
      </c>
    </row>
    <row r="97" spans="2:12" x14ac:dyDescent="0.25">
      <c r="B97" s="116" t="s">
        <v>76</v>
      </c>
      <c r="C97" s="117">
        <v>7573</v>
      </c>
      <c r="D97" s="118">
        <v>2.4914707238358691</v>
      </c>
      <c r="E97" s="117">
        <v>13157</v>
      </c>
      <c r="F97" s="118">
        <f t="shared" ref="F97:J109" si="8">IFERROR(E97/C97-1,"-")</f>
        <v>0.73735639772877337</v>
      </c>
      <c r="G97" s="117">
        <v>12081</v>
      </c>
      <c r="H97" s="118">
        <f t="shared" si="8"/>
        <v>-8.1781561146157977E-2</v>
      </c>
      <c r="I97" s="117">
        <v>12686</v>
      </c>
      <c r="J97" s="118">
        <f t="shared" si="8"/>
        <v>5.0078635874513777E-2</v>
      </c>
      <c r="K97" s="117">
        <v>14586</v>
      </c>
      <c r="L97" s="118">
        <f t="shared" ref="L97:L103" si="9">IFERROR(K97/I97-1,"-")</f>
        <v>0.14977140154501023</v>
      </c>
    </row>
    <row r="98" spans="2:12" x14ac:dyDescent="0.25">
      <c r="B98" s="116" t="s">
        <v>78</v>
      </c>
      <c r="C98" s="117">
        <v>8064</v>
      </c>
      <c r="D98" s="118">
        <v>1.7133243606998656</v>
      </c>
      <c r="E98" s="117">
        <v>10692</v>
      </c>
      <c r="F98" s="118">
        <f t="shared" si="8"/>
        <v>0.32589285714285721</v>
      </c>
      <c r="G98" s="117">
        <v>10745</v>
      </c>
      <c r="H98" s="118">
        <f t="shared" si="8"/>
        <v>4.9569771791992956E-3</v>
      </c>
      <c r="I98" s="117">
        <v>11462</v>
      </c>
      <c r="J98" s="118">
        <f t="shared" si="8"/>
        <v>6.6728711028385401E-2</v>
      </c>
      <c r="K98" s="117">
        <v>12993</v>
      </c>
      <c r="L98" s="118">
        <f t="shared" si="9"/>
        <v>0.13357180247775258</v>
      </c>
    </row>
    <row r="99" spans="2:12" x14ac:dyDescent="0.25">
      <c r="B99" s="116" t="s">
        <v>80</v>
      </c>
      <c r="C99" s="117">
        <v>8479</v>
      </c>
      <c r="D99" s="118">
        <v>1.0475730499879257</v>
      </c>
      <c r="E99" s="117">
        <v>9794</v>
      </c>
      <c r="F99" s="118">
        <f t="shared" si="8"/>
        <v>0.15508904351928288</v>
      </c>
      <c r="G99" s="117">
        <v>10168</v>
      </c>
      <c r="H99" s="118">
        <f t="shared" si="8"/>
        <v>3.8186644884623311E-2</v>
      </c>
      <c r="I99" s="117">
        <v>11241</v>
      </c>
      <c r="J99" s="118">
        <f t="shared" si="8"/>
        <v>0.10552714398111718</v>
      </c>
      <c r="K99" s="117">
        <v>11980</v>
      </c>
      <c r="L99" s="118">
        <f t="shared" si="9"/>
        <v>6.5741482074548552E-2</v>
      </c>
    </row>
    <row r="100" spans="2:12" x14ac:dyDescent="0.25">
      <c r="B100" s="116" t="s">
        <v>82</v>
      </c>
      <c r="C100" s="117">
        <v>6637</v>
      </c>
      <c r="D100" s="118">
        <v>0.97294887039239009</v>
      </c>
      <c r="E100" s="117">
        <v>6884</v>
      </c>
      <c r="F100" s="118">
        <f t="shared" si="8"/>
        <v>3.7215609462106336E-2</v>
      </c>
      <c r="G100" s="117">
        <v>7197</v>
      </c>
      <c r="H100" s="118">
        <f t="shared" si="8"/>
        <v>4.5467751307379345E-2</v>
      </c>
      <c r="I100" s="117">
        <v>7965</v>
      </c>
      <c r="J100" s="118">
        <f t="shared" si="8"/>
        <v>0.10671112963734886</v>
      </c>
      <c r="K100" s="117">
        <v>9024</v>
      </c>
      <c r="L100" s="118">
        <f t="shared" si="9"/>
        <v>0.13295668549905848</v>
      </c>
    </row>
    <row r="101" spans="2:12" x14ac:dyDescent="0.25">
      <c r="B101" s="116" t="s">
        <v>84</v>
      </c>
      <c r="C101" s="117">
        <v>5493</v>
      </c>
      <c r="D101" s="118">
        <v>0.4135357694287185</v>
      </c>
      <c r="E101" s="117">
        <v>4667</v>
      </c>
      <c r="F101" s="118">
        <f t="shared" si="8"/>
        <v>-0.15037320225741857</v>
      </c>
      <c r="G101" s="117">
        <v>4792</v>
      </c>
      <c r="H101" s="118">
        <f t="shared" si="8"/>
        <v>2.678380115706025E-2</v>
      </c>
      <c r="I101" s="117">
        <v>5481</v>
      </c>
      <c r="J101" s="118">
        <f t="shared" si="8"/>
        <v>0.14378130217028384</v>
      </c>
      <c r="K101" s="117">
        <v>5062</v>
      </c>
      <c r="L101" s="118">
        <f t="shared" si="9"/>
        <v>-7.6445904032110934E-2</v>
      </c>
    </row>
    <row r="102" spans="2:12" x14ac:dyDescent="0.25">
      <c r="B102" s="116" t="s">
        <v>86</v>
      </c>
      <c r="C102" s="117">
        <v>5199</v>
      </c>
      <c r="D102" s="118">
        <v>0.43737904340613776</v>
      </c>
      <c r="E102" s="117">
        <v>4917</v>
      </c>
      <c r="F102" s="118">
        <f t="shared" si="8"/>
        <v>-5.424120023081358E-2</v>
      </c>
      <c r="G102" s="117">
        <v>4604</v>
      </c>
      <c r="H102" s="118">
        <f t="shared" si="8"/>
        <v>-6.365670124059386E-2</v>
      </c>
      <c r="I102" s="117">
        <v>4201</v>
      </c>
      <c r="J102" s="118">
        <f t="shared" si="8"/>
        <v>-8.7532580364900081E-2</v>
      </c>
      <c r="K102" s="117">
        <v>3853</v>
      </c>
      <c r="L102" s="118">
        <f t="shared" si="9"/>
        <v>-8.2837419661985212E-2</v>
      </c>
    </row>
    <row r="103" spans="2:12" x14ac:dyDescent="0.25">
      <c r="B103" s="116" t="s">
        <v>88</v>
      </c>
      <c r="C103" s="117">
        <v>5558</v>
      </c>
      <c r="D103" s="118">
        <v>0.24340044742729305</v>
      </c>
      <c r="E103" s="117">
        <v>5234</v>
      </c>
      <c r="F103" s="118">
        <f t="shared" si="8"/>
        <v>-5.8294350485786239E-2</v>
      </c>
      <c r="G103" s="117">
        <v>5335</v>
      </c>
      <c r="H103" s="118">
        <f t="shared" si="8"/>
        <v>1.9296904852885044E-2</v>
      </c>
      <c r="I103" s="117">
        <v>5964</v>
      </c>
      <c r="J103" s="118">
        <f t="shared" si="8"/>
        <v>0.11790065604498601</v>
      </c>
      <c r="K103" s="117">
        <v>5096</v>
      </c>
      <c r="L103" s="118">
        <f t="shared" si="9"/>
        <v>-0.14553990610328638</v>
      </c>
    </row>
    <row r="104" spans="2:12" x14ac:dyDescent="0.25">
      <c r="B104" s="116" t="s">
        <v>90</v>
      </c>
      <c r="C104" s="117">
        <v>6638</v>
      </c>
      <c r="D104" s="118">
        <v>0.4004219409282701</v>
      </c>
      <c r="E104" s="117">
        <v>6171</v>
      </c>
      <c r="F104" s="118">
        <f t="shared" si="8"/>
        <v>-7.0352515818017491E-2</v>
      </c>
      <c r="G104" s="117">
        <v>5898</v>
      </c>
      <c r="H104" s="118">
        <f t="shared" si="8"/>
        <v>-4.4239183276616467E-2</v>
      </c>
      <c r="I104" s="117">
        <v>6090</v>
      </c>
      <c r="J104" s="118">
        <f t="shared" si="8"/>
        <v>3.2553407934893253E-2</v>
      </c>
      <c r="K104" s="117"/>
      <c r="L104" s="118"/>
    </row>
    <row r="105" spans="2:12" x14ac:dyDescent="0.25">
      <c r="B105" s="116" t="s">
        <v>92</v>
      </c>
      <c r="C105" s="117">
        <v>7100</v>
      </c>
      <c r="D105" s="118">
        <v>0.31481481481481488</v>
      </c>
      <c r="E105" s="117">
        <v>4623</v>
      </c>
      <c r="F105" s="118">
        <f t="shared" si="8"/>
        <v>-0.34887323943661974</v>
      </c>
      <c r="G105" s="117">
        <v>5263</v>
      </c>
      <c r="H105" s="118">
        <f t="shared" si="8"/>
        <v>0.13843824356478485</v>
      </c>
      <c r="I105" s="117">
        <v>6077</v>
      </c>
      <c r="J105" s="118">
        <f t="shared" si="8"/>
        <v>0.15466463993919821</v>
      </c>
      <c r="K105" s="117"/>
      <c r="L105" s="118"/>
    </row>
    <row r="106" spans="2:12" x14ac:dyDescent="0.25">
      <c r="B106" s="116" t="s">
        <v>94</v>
      </c>
      <c r="C106" s="117">
        <v>8769</v>
      </c>
      <c r="D106" s="118">
        <v>0.23873428450346101</v>
      </c>
      <c r="E106" s="117">
        <v>6591</v>
      </c>
      <c r="F106" s="118">
        <f t="shared" si="8"/>
        <v>-0.24837495723571668</v>
      </c>
      <c r="G106" s="117">
        <v>6602</v>
      </c>
      <c r="H106" s="118">
        <f t="shared" si="8"/>
        <v>1.6689424973448386E-3</v>
      </c>
      <c r="I106" s="117">
        <v>7730</v>
      </c>
      <c r="J106" s="118">
        <f t="shared" si="8"/>
        <v>0.1708573159648592</v>
      </c>
      <c r="K106" s="117"/>
      <c r="L106" s="118"/>
    </row>
    <row r="107" spans="2:12" x14ac:dyDescent="0.25">
      <c r="B107" s="116" t="s">
        <v>96</v>
      </c>
      <c r="C107" s="117">
        <v>11464</v>
      </c>
      <c r="D107" s="118">
        <v>0.21776078181431902</v>
      </c>
      <c r="E107" s="117">
        <v>9972</v>
      </c>
      <c r="F107" s="118">
        <f t="shared" si="8"/>
        <v>-0.13014654570830431</v>
      </c>
      <c r="G107" s="117">
        <v>10214</v>
      </c>
      <c r="H107" s="118">
        <f t="shared" si="8"/>
        <v>2.4267950260730142E-2</v>
      </c>
      <c r="I107" s="117">
        <v>12533</v>
      </c>
      <c r="J107" s="118">
        <f t="shared" si="8"/>
        <v>0.22704131584100251</v>
      </c>
      <c r="K107" s="117"/>
      <c r="L107" s="118"/>
    </row>
    <row r="108" spans="2:12" x14ac:dyDescent="0.25">
      <c r="B108" s="116" t="s">
        <v>98</v>
      </c>
      <c r="C108" s="117">
        <v>13271</v>
      </c>
      <c r="D108" s="118">
        <v>0.57071842821635688</v>
      </c>
      <c r="E108" s="117">
        <v>10128</v>
      </c>
      <c r="F108" s="118">
        <f t="shared" si="8"/>
        <v>-0.23683219049054327</v>
      </c>
      <c r="G108" s="117">
        <v>11520</v>
      </c>
      <c r="H108" s="118">
        <f t="shared" si="8"/>
        <v>0.13744075829383884</v>
      </c>
      <c r="I108" s="117">
        <v>12768</v>
      </c>
      <c r="J108" s="118">
        <f t="shared" si="8"/>
        <v>0.10833333333333339</v>
      </c>
      <c r="K108" s="117"/>
      <c r="L108" s="118"/>
    </row>
    <row r="109" spans="2:12" ht="15.75" x14ac:dyDescent="0.25">
      <c r="B109" s="119" t="s">
        <v>32</v>
      </c>
      <c r="C109" s="120">
        <v>94245</v>
      </c>
      <c r="D109" s="121">
        <v>0.57861677358838204</v>
      </c>
      <c r="E109" s="120">
        <v>92830</v>
      </c>
      <c r="F109" s="121">
        <f t="shared" si="8"/>
        <v>-1.5014059101278621E-2</v>
      </c>
      <c r="G109" s="120">
        <v>94419</v>
      </c>
      <c r="H109" s="121">
        <f t="shared" si="8"/>
        <v>1.7117311214047248E-2</v>
      </c>
      <c r="I109" s="120">
        <v>104198</v>
      </c>
      <c r="J109" s="121">
        <f t="shared" si="8"/>
        <v>0.10357025598661296</v>
      </c>
      <c r="K109" s="120">
        <v>62594</v>
      </c>
      <c r="L109" s="121">
        <v>6.0915254237288163E-2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2" spans="2:12" x14ac:dyDescent="0.25">
      <c r="C112" s="122"/>
    </row>
    <row r="114" spans="1:13" ht="48.75" customHeight="1" thickBot="1" x14ac:dyDescent="0.3">
      <c r="B114" s="273" t="s">
        <v>250</v>
      </c>
      <c r="C114" s="273"/>
      <c r="D114" s="273"/>
      <c r="E114" s="273"/>
      <c r="F114" s="273"/>
      <c r="G114" s="273"/>
      <c r="H114" s="273"/>
      <c r="I114" s="273"/>
      <c r="J114" s="273"/>
      <c r="K114" s="273"/>
      <c r="L114" s="273"/>
      <c r="M114" s="1" t="s">
        <v>113</v>
      </c>
    </row>
    <row r="115" spans="1:13" ht="10.5" customHeight="1" thickBot="1" x14ac:dyDescent="0.3">
      <c r="B115" s="109"/>
      <c r="C115" s="110"/>
      <c r="D115" s="109"/>
      <c r="E115" s="109"/>
      <c r="F115" s="109"/>
      <c r="G115" s="109"/>
      <c r="H115" s="109"/>
      <c r="I115" s="109"/>
      <c r="J115" s="109"/>
      <c r="K115" s="4"/>
      <c r="L115" s="4"/>
      <c r="M115" s="1" t="s">
        <v>114</v>
      </c>
    </row>
    <row r="116" spans="1:13" ht="22.5" thickTop="1" thickBot="1" x14ac:dyDescent="0.3">
      <c r="B116" s="123" t="str">
        <f>C116</f>
        <v>Reino Unido</v>
      </c>
      <c r="C116" s="298" t="s">
        <v>115</v>
      </c>
      <c r="D116" s="299"/>
      <c r="E116" s="299"/>
      <c r="F116" s="299"/>
      <c r="G116" s="299"/>
      <c r="H116" s="299"/>
      <c r="I116" s="299"/>
      <c r="J116" s="299"/>
      <c r="K116" s="299"/>
      <c r="L116" s="299"/>
    </row>
    <row r="117" spans="1:13" ht="22.5" thickTop="1" thickBot="1" x14ac:dyDescent="0.3">
      <c r="B117" s="112"/>
      <c r="C117" s="303">
        <f>C$7</f>
        <v>2022</v>
      </c>
      <c r="D117" s="301"/>
      <c r="E117" s="303">
        <f>E$7</f>
        <v>2023</v>
      </c>
      <c r="F117" s="301"/>
      <c r="G117" s="303">
        <f>G$7</f>
        <v>2024</v>
      </c>
      <c r="H117" s="301"/>
      <c r="I117" s="303">
        <f>I$7</f>
        <v>2025</v>
      </c>
      <c r="J117" s="301"/>
      <c r="K117" s="303">
        <f>K$7</f>
        <v>2026</v>
      </c>
      <c r="L117" s="301"/>
    </row>
    <row r="118" spans="1:13" ht="16.5" thickTop="1" thickBot="1" x14ac:dyDescent="0.3">
      <c r="B118" s="87"/>
      <c r="C118" s="113" t="s">
        <v>74</v>
      </c>
      <c r="D118" s="114" t="str">
        <f>CONCATENATE("var ",RIGHT(C117,2),"/",RIGHT(C117-1,2))</f>
        <v>var 22/21</v>
      </c>
      <c r="E118" s="115" t="s">
        <v>74</v>
      </c>
      <c r="F118" s="114" t="str">
        <f>CONCATENATE("var ",RIGHT(E117,2),"/",RIGHT(E117-1,2))</f>
        <v>var 23/22</v>
      </c>
      <c r="G118" s="115" t="s">
        <v>74</v>
      </c>
      <c r="H118" s="114" t="str">
        <f>CONCATENATE("var ",RIGHT(G117,2),"/",RIGHT(G117-1,2))</f>
        <v>var 24/23</v>
      </c>
      <c r="I118" s="115" t="s">
        <v>74</v>
      </c>
      <c r="J118" s="114" t="str">
        <f>CONCATENATE("var ",RIGHT(I117,2),"/",RIGHT(I117-1,2))</f>
        <v>var 25/24</v>
      </c>
      <c r="K118" s="115" t="s">
        <v>74</v>
      </c>
      <c r="L118" s="114" t="str">
        <f>CONCATENATE("var ",RIGHT(K117,2),"/",RIGHT(K117-1,2))</f>
        <v>var 26/25</v>
      </c>
    </row>
    <row r="119" spans="1:13" x14ac:dyDescent="0.25">
      <c r="B119" s="116" t="s">
        <v>76</v>
      </c>
      <c r="C119" s="117">
        <v>805</v>
      </c>
      <c r="D119" s="118">
        <v>14.48076923076923</v>
      </c>
      <c r="E119" s="117">
        <v>1683</v>
      </c>
      <c r="F119" s="118">
        <f t="shared" ref="F119:J131" si="10">IFERROR(E119/C119-1,"-")</f>
        <v>1.0906832298136644</v>
      </c>
      <c r="G119" s="117">
        <v>1591</v>
      </c>
      <c r="H119" s="118">
        <f t="shared" si="10"/>
        <v>-5.4664289958407553E-2</v>
      </c>
      <c r="I119" s="117">
        <v>1627</v>
      </c>
      <c r="J119" s="118">
        <f t="shared" si="10"/>
        <v>2.2627278441232024E-2</v>
      </c>
      <c r="K119" s="117">
        <v>1536</v>
      </c>
      <c r="L119" s="118">
        <f t="shared" ref="L119:L125" si="11">IFERROR(K119/I119-1,"-")</f>
        <v>-5.5931161647203465E-2</v>
      </c>
    </row>
    <row r="120" spans="1:13" x14ac:dyDescent="0.25">
      <c r="B120" s="116" t="s">
        <v>78</v>
      </c>
      <c r="C120" s="117">
        <v>857</v>
      </c>
      <c r="D120" s="118">
        <v>11.070422535211268</v>
      </c>
      <c r="E120" s="117">
        <v>1254</v>
      </c>
      <c r="F120" s="118">
        <f t="shared" si="10"/>
        <v>0.46324387397899658</v>
      </c>
      <c r="G120" s="117">
        <v>1571</v>
      </c>
      <c r="H120" s="118">
        <f t="shared" si="10"/>
        <v>0.25279106858054234</v>
      </c>
      <c r="I120" s="117">
        <v>1243</v>
      </c>
      <c r="J120" s="118">
        <f t="shared" si="10"/>
        <v>-0.2087842138765118</v>
      </c>
      <c r="K120" s="117">
        <v>1360</v>
      </c>
      <c r="L120" s="118">
        <f t="shared" si="11"/>
        <v>9.4127111826226795E-2</v>
      </c>
    </row>
    <row r="121" spans="1:13" x14ac:dyDescent="0.25">
      <c r="B121" s="116" t="s">
        <v>80</v>
      </c>
      <c r="C121" s="117">
        <v>816</v>
      </c>
      <c r="D121" s="118">
        <v>4.7062937062937067</v>
      </c>
      <c r="E121" s="117">
        <v>1157</v>
      </c>
      <c r="F121" s="118">
        <f t="shared" si="10"/>
        <v>0.41789215686274517</v>
      </c>
      <c r="G121" s="117">
        <v>1094</v>
      </c>
      <c r="H121" s="118">
        <f t="shared" si="10"/>
        <v>-5.4451166810717377E-2</v>
      </c>
      <c r="I121" s="117">
        <v>1052</v>
      </c>
      <c r="J121" s="118">
        <f t="shared" si="10"/>
        <v>-3.8391224862888484E-2</v>
      </c>
      <c r="K121" s="117">
        <v>938</v>
      </c>
      <c r="L121" s="118">
        <f t="shared" si="11"/>
        <v>-0.10836501901140683</v>
      </c>
    </row>
    <row r="122" spans="1:13" x14ac:dyDescent="0.25">
      <c r="B122" s="116" t="s">
        <v>82</v>
      </c>
      <c r="C122" s="117">
        <v>609</v>
      </c>
      <c r="D122" s="118">
        <v>6.25</v>
      </c>
      <c r="E122" s="117">
        <v>609</v>
      </c>
      <c r="F122" s="118">
        <f t="shared" si="10"/>
        <v>0</v>
      </c>
      <c r="G122" s="117">
        <v>736</v>
      </c>
      <c r="H122" s="118">
        <f t="shared" si="10"/>
        <v>0.20853858784893275</v>
      </c>
      <c r="I122" s="117">
        <v>732</v>
      </c>
      <c r="J122" s="118">
        <f t="shared" si="10"/>
        <v>-5.4347826086956763E-3</v>
      </c>
      <c r="K122" s="117">
        <v>670</v>
      </c>
      <c r="L122" s="118">
        <f t="shared" si="11"/>
        <v>-8.4699453551912551E-2</v>
      </c>
    </row>
    <row r="123" spans="1:13" x14ac:dyDescent="0.25">
      <c r="B123" s="116" t="s">
        <v>84</v>
      </c>
      <c r="C123" s="117">
        <v>466</v>
      </c>
      <c r="D123" s="118">
        <v>2.4776119402985075</v>
      </c>
      <c r="E123" s="117">
        <v>455</v>
      </c>
      <c r="F123" s="118">
        <f t="shared" si="10"/>
        <v>-2.3605150214592308E-2</v>
      </c>
      <c r="G123" s="117">
        <v>385</v>
      </c>
      <c r="H123" s="118">
        <f t="shared" si="10"/>
        <v>-0.15384615384615385</v>
      </c>
      <c r="I123" s="117">
        <v>495</v>
      </c>
      <c r="J123" s="118">
        <f t="shared" si="10"/>
        <v>0.28571428571428581</v>
      </c>
      <c r="K123" s="117">
        <v>433</v>
      </c>
      <c r="L123" s="118">
        <f t="shared" si="11"/>
        <v>-0.12525252525252528</v>
      </c>
    </row>
    <row r="124" spans="1:13" x14ac:dyDescent="0.25">
      <c r="B124" s="116" t="s">
        <v>86</v>
      </c>
      <c r="C124" s="117">
        <v>513</v>
      </c>
      <c r="D124" s="118">
        <v>2.9160305343511452</v>
      </c>
      <c r="E124" s="117">
        <v>875</v>
      </c>
      <c r="F124" s="118">
        <f t="shared" si="10"/>
        <v>0.7056530214424952</v>
      </c>
      <c r="G124" s="117">
        <v>683</v>
      </c>
      <c r="H124" s="118">
        <f t="shared" si="10"/>
        <v>-0.21942857142857142</v>
      </c>
      <c r="I124" s="117">
        <v>360</v>
      </c>
      <c r="J124" s="118">
        <f t="shared" si="10"/>
        <v>-0.47291361639824303</v>
      </c>
      <c r="K124" s="117">
        <v>354</v>
      </c>
      <c r="L124" s="118">
        <f t="shared" si="11"/>
        <v>-1.6666666666666718E-2</v>
      </c>
    </row>
    <row r="125" spans="1:13" x14ac:dyDescent="0.25">
      <c r="B125" s="116" t="s">
        <v>88</v>
      </c>
      <c r="C125" s="117">
        <v>730</v>
      </c>
      <c r="D125" s="118">
        <v>3.195402298850575</v>
      </c>
      <c r="E125" s="117">
        <v>670</v>
      </c>
      <c r="F125" s="118">
        <f t="shared" si="10"/>
        <v>-8.2191780821917804E-2</v>
      </c>
      <c r="G125" s="117">
        <v>605</v>
      </c>
      <c r="H125" s="118">
        <f t="shared" si="10"/>
        <v>-9.7014925373134275E-2</v>
      </c>
      <c r="I125" s="117">
        <v>600</v>
      </c>
      <c r="J125" s="118">
        <f t="shared" si="10"/>
        <v>-8.2644628099173278E-3</v>
      </c>
      <c r="K125" s="117">
        <v>566</v>
      </c>
      <c r="L125" s="118">
        <f t="shared" si="11"/>
        <v>-5.6666666666666643E-2</v>
      </c>
    </row>
    <row r="126" spans="1:13" x14ac:dyDescent="0.25">
      <c r="B126" s="116" t="s">
        <v>90</v>
      </c>
      <c r="C126" s="117">
        <v>825</v>
      </c>
      <c r="D126" s="118">
        <v>2.2999999999999998</v>
      </c>
      <c r="E126" s="117">
        <v>1478</v>
      </c>
      <c r="F126" s="118">
        <f t="shared" si="10"/>
        <v>0.7915151515151515</v>
      </c>
      <c r="G126" s="117">
        <v>532</v>
      </c>
      <c r="H126" s="118">
        <f t="shared" si="10"/>
        <v>-0.64005412719891752</v>
      </c>
      <c r="I126" s="117">
        <v>645</v>
      </c>
      <c r="J126" s="118">
        <f t="shared" si="10"/>
        <v>0.21240601503759393</v>
      </c>
      <c r="K126" s="117"/>
      <c r="L126" s="118"/>
    </row>
    <row r="127" spans="1:13" x14ac:dyDescent="0.25">
      <c r="B127" s="116" t="s">
        <v>92</v>
      </c>
      <c r="C127" s="117">
        <v>1068</v>
      </c>
      <c r="D127" s="118">
        <v>2.595959595959596</v>
      </c>
      <c r="E127" s="117">
        <v>508</v>
      </c>
      <c r="F127" s="118">
        <f t="shared" si="10"/>
        <v>-0.52434456928838946</v>
      </c>
      <c r="G127" s="117">
        <v>623</v>
      </c>
      <c r="H127" s="118">
        <f t="shared" si="10"/>
        <v>0.22637795275590555</v>
      </c>
      <c r="I127" s="117">
        <v>596</v>
      </c>
      <c r="J127" s="118">
        <f t="shared" si="10"/>
        <v>-4.3338683788122001E-2</v>
      </c>
      <c r="K127" s="117"/>
      <c r="L127" s="118"/>
    </row>
    <row r="128" spans="1:13" x14ac:dyDescent="0.25">
      <c r="A128" s="122"/>
      <c r="B128" s="116" t="s">
        <v>94</v>
      </c>
      <c r="C128" s="117">
        <v>998</v>
      </c>
      <c r="D128" s="118">
        <v>0.666110183639399</v>
      </c>
      <c r="E128" s="117">
        <v>765</v>
      </c>
      <c r="F128" s="118">
        <f t="shared" si="10"/>
        <v>-0.23346693386773543</v>
      </c>
      <c r="G128" s="117">
        <v>620</v>
      </c>
      <c r="H128" s="118">
        <f t="shared" si="10"/>
        <v>-0.18954248366013071</v>
      </c>
      <c r="I128" s="117">
        <v>838</v>
      </c>
      <c r="J128" s="118">
        <f t="shared" si="10"/>
        <v>0.35161290322580641</v>
      </c>
      <c r="K128" s="117"/>
      <c r="L128" s="118"/>
    </row>
    <row r="129" spans="2:13" x14ac:dyDescent="0.25">
      <c r="B129" s="116" t="s">
        <v>96</v>
      </c>
      <c r="C129" s="117">
        <v>917</v>
      </c>
      <c r="D129" s="118">
        <v>0.28251748251748254</v>
      </c>
      <c r="E129" s="117">
        <v>1068</v>
      </c>
      <c r="F129" s="118">
        <f t="shared" si="10"/>
        <v>0.16466739367502736</v>
      </c>
      <c r="G129" s="117">
        <v>1066</v>
      </c>
      <c r="H129" s="118">
        <f t="shared" si="10"/>
        <v>-1.8726591760299671E-3</v>
      </c>
      <c r="I129" s="117">
        <v>1123</v>
      </c>
      <c r="J129" s="118">
        <f t="shared" si="10"/>
        <v>5.3470919324577926E-2</v>
      </c>
      <c r="K129" s="117"/>
      <c r="L129" s="118"/>
    </row>
    <row r="130" spans="2:13" x14ac:dyDescent="0.25">
      <c r="B130" s="116" t="s">
        <v>98</v>
      </c>
      <c r="C130" s="117">
        <v>1313</v>
      </c>
      <c r="D130" s="118">
        <v>0.9139941690962099</v>
      </c>
      <c r="E130" s="117">
        <v>1132</v>
      </c>
      <c r="F130" s="118">
        <f t="shared" si="10"/>
        <v>-0.1378522467631379</v>
      </c>
      <c r="G130" s="117">
        <v>1172</v>
      </c>
      <c r="H130" s="118">
        <f t="shared" si="10"/>
        <v>3.5335689045936425E-2</v>
      </c>
      <c r="I130" s="117">
        <v>1145</v>
      </c>
      <c r="J130" s="118">
        <f t="shared" si="10"/>
        <v>-2.3037542662115995E-2</v>
      </c>
      <c r="K130" s="117"/>
      <c r="L130" s="118"/>
    </row>
    <row r="131" spans="2:13" ht="15.75" x14ac:dyDescent="0.25">
      <c r="B131" s="119" t="s">
        <v>32</v>
      </c>
      <c r="C131" s="120">
        <v>9917</v>
      </c>
      <c r="D131" s="121">
        <v>1.9727218225419665</v>
      </c>
      <c r="E131" s="120">
        <v>11654</v>
      </c>
      <c r="F131" s="121">
        <f t="shared" si="10"/>
        <v>0.17515377634365237</v>
      </c>
      <c r="G131" s="120">
        <v>10678</v>
      </c>
      <c r="H131" s="121">
        <f t="shared" si="10"/>
        <v>-8.3748069332418074E-2</v>
      </c>
      <c r="I131" s="120">
        <v>10456</v>
      </c>
      <c r="J131" s="121">
        <f t="shared" si="10"/>
        <v>-2.0790410189174047E-2</v>
      </c>
      <c r="K131" s="120">
        <v>5857</v>
      </c>
      <c r="L131" s="121">
        <v>-4.1250613848420326E-2</v>
      </c>
    </row>
    <row r="132" spans="2:13" ht="6" customHeight="1" x14ac:dyDescent="0.25"/>
    <row r="133" spans="2:13" x14ac:dyDescent="0.25">
      <c r="B133" s="107" t="s">
        <v>57</v>
      </c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</row>
    <row r="134" spans="2:13" x14ac:dyDescent="0.25">
      <c r="I134" s="122"/>
      <c r="K134" s="122"/>
      <c r="L134" s="125"/>
    </row>
    <row r="136" spans="2:13" ht="48.75" customHeight="1" thickBot="1" x14ac:dyDescent="0.3">
      <c r="B136" s="273" t="s">
        <v>251</v>
      </c>
      <c r="C136" s="273"/>
      <c r="D136" s="273"/>
      <c r="E136" s="273"/>
      <c r="F136" s="273"/>
      <c r="G136" s="273"/>
      <c r="H136" s="273"/>
      <c r="I136" s="273"/>
      <c r="J136" s="273"/>
      <c r="K136" s="273"/>
      <c r="L136" s="273"/>
      <c r="M136" s="1" t="s">
        <v>116</v>
      </c>
    </row>
    <row r="137" spans="2:13" ht="10.5" customHeight="1" thickBot="1" x14ac:dyDescent="0.3">
      <c r="B137" s="109"/>
      <c r="C137" s="110"/>
      <c r="D137" s="109"/>
      <c r="E137" s="109"/>
      <c r="F137" s="109"/>
      <c r="G137" s="109"/>
      <c r="H137" s="109"/>
      <c r="I137" s="109"/>
      <c r="J137" s="109"/>
      <c r="K137" s="4"/>
      <c r="L137" s="4"/>
      <c r="M137" s="1" t="s">
        <v>117</v>
      </c>
    </row>
    <row r="138" spans="2:13" ht="22.5" thickTop="1" thickBot="1" x14ac:dyDescent="0.3">
      <c r="B138" s="123" t="str">
        <f>C138</f>
        <v>Alemania</v>
      </c>
      <c r="C138" s="298" t="s">
        <v>118</v>
      </c>
      <c r="D138" s="299"/>
      <c r="E138" s="299"/>
      <c r="F138" s="299"/>
      <c r="G138" s="299"/>
      <c r="H138" s="299"/>
      <c r="I138" s="299"/>
      <c r="J138" s="299"/>
      <c r="K138" s="299"/>
      <c r="L138" s="299"/>
    </row>
    <row r="139" spans="2:13" ht="22.5" thickTop="1" thickBot="1" x14ac:dyDescent="0.3">
      <c r="B139" s="112"/>
      <c r="C139" s="303">
        <f>C$7</f>
        <v>2022</v>
      </c>
      <c r="D139" s="301"/>
      <c r="E139" s="303">
        <f>E$7</f>
        <v>2023</v>
      </c>
      <c r="F139" s="301"/>
      <c r="G139" s="303">
        <f>G$7</f>
        <v>2024</v>
      </c>
      <c r="H139" s="301"/>
      <c r="I139" s="303">
        <f>I$7</f>
        <v>2025</v>
      </c>
      <c r="J139" s="301"/>
      <c r="K139" s="303">
        <f>K$7</f>
        <v>2026</v>
      </c>
      <c r="L139" s="301"/>
    </row>
    <row r="140" spans="2:13" ht="16.5" thickTop="1" thickBot="1" x14ac:dyDescent="0.3">
      <c r="B140" s="87"/>
      <c r="C140" s="113" t="s">
        <v>74</v>
      </c>
      <c r="D140" s="114" t="str">
        <f>CONCATENATE("var ",RIGHT(C139,2),"/",RIGHT(C139-1,2))</f>
        <v>var 22/21</v>
      </c>
      <c r="E140" s="115" t="s">
        <v>74</v>
      </c>
      <c r="F140" s="114" t="str">
        <f>CONCATENATE("var ",RIGHT(E139,2),"/",RIGHT(E139-1,2))</f>
        <v>var 23/22</v>
      </c>
      <c r="G140" s="115" t="s">
        <v>74</v>
      </c>
      <c r="H140" s="114" t="str">
        <f>CONCATENATE("var ",RIGHT(G139,2),"/",RIGHT(G139-1,2))</f>
        <v>var 24/23</v>
      </c>
      <c r="I140" s="115" t="s">
        <v>74</v>
      </c>
      <c r="J140" s="114" t="str">
        <f>CONCATENATE("var ",RIGHT(I139,2),"/",RIGHT(I139-1,2))</f>
        <v>var 25/24</v>
      </c>
      <c r="K140" s="115" t="s">
        <v>74</v>
      </c>
      <c r="L140" s="114" t="str">
        <f>CONCATENATE("var ",RIGHT(K139,2),"/",RIGHT(K139-1,2))</f>
        <v>var 26/25</v>
      </c>
    </row>
    <row r="141" spans="2:13" x14ac:dyDescent="0.25">
      <c r="B141" s="116" t="s">
        <v>76</v>
      </c>
      <c r="C141" s="117">
        <v>951</v>
      </c>
      <c r="D141" s="118">
        <v>3.0641025641025639</v>
      </c>
      <c r="E141" s="117">
        <v>2175</v>
      </c>
      <c r="F141" s="118">
        <f t="shared" ref="F141:J153" si="12">IFERROR(E141/C141-1,"-")</f>
        <v>1.2870662460567823</v>
      </c>
      <c r="G141" s="117">
        <v>1978</v>
      </c>
      <c r="H141" s="118">
        <f t="shared" si="12"/>
        <v>-9.0574712643678112E-2</v>
      </c>
      <c r="I141" s="117">
        <v>2299</v>
      </c>
      <c r="J141" s="118">
        <f t="shared" si="12"/>
        <v>0.16228513650151677</v>
      </c>
      <c r="K141" s="117">
        <v>2568</v>
      </c>
      <c r="L141" s="118">
        <f t="shared" ref="L141:L147" si="13">IFERROR(K141/I141-1,"-")</f>
        <v>0.11700739451935616</v>
      </c>
    </row>
    <row r="142" spans="2:13" x14ac:dyDescent="0.25">
      <c r="B142" s="116" t="s">
        <v>78</v>
      </c>
      <c r="C142" s="117">
        <v>938</v>
      </c>
      <c r="D142" s="118">
        <v>1.7916666666666665</v>
      </c>
      <c r="E142" s="117">
        <v>1580</v>
      </c>
      <c r="F142" s="118">
        <f t="shared" si="12"/>
        <v>0.68443496801705761</v>
      </c>
      <c r="G142" s="117">
        <v>1621</v>
      </c>
      <c r="H142" s="118">
        <f t="shared" si="12"/>
        <v>2.5949367088607511E-2</v>
      </c>
      <c r="I142" s="117">
        <v>1849</v>
      </c>
      <c r="J142" s="118">
        <f t="shared" si="12"/>
        <v>0.14065391733497834</v>
      </c>
      <c r="K142" s="117">
        <v>1929</v>
      </c>
      <c r="L142" s="118">
        <f t="shared" si="13"/>
        <v>4.326663061114111E-2</v>
      </c>
    </row>
    <row r="143" spans="2:13" x14ac:dyDescent="0.25">
      <c r="B143" s="116" t="s">
        <v>80</v>
      </c>
      <c r="C143" s="117">
        <v>1100</v>
      </c>
      <c r="D143" s="118">
        <v>1.2540983606557377</v>
      </c>
      <c r="E143" s="117">
        <v>1761</v>
      </c>
      <c r="F143" s="118">
        <f t="shared" si="12"/>
        <v>0.60090909090909084</v>
      </c>
      <c r="G143" s="117">
        <v>1731</v>
      </c>
      <c r="H143" s="118">
        <f t="shared" si="12"/>
        <v>-1.7035775127768327E-2</v>
      </c>
      <c r="I143" s="117">
        <v>2042</v>
      </c>
      <c r="J143" s="118">
        <f t="shared" si="12"/>
        <v>0.1796649335644136</v>
      </c>
      <c r="K143" s="117">
        <v>2228</v>
      </c>
      <c r="L143" s="118">
        <f t="shared" si="13"/>
        <v>9.1087169441723903E-2</v>
      </c>
    </row>
    <row r="144" spans="2:13" x14ac:dyDescent="0.25">
      <c r="B144" s="116" t="s">
        <v>82</v>
      </c>
      <c r="C144" s="117">
        <v>852</v>
      </c>
      <c r="D144" s="118">
        <v>1.5740181268882174</v>
      </c>
      <c r="E144" s="117">
        <v>1142</v>
      </c>
      <c r="F144" s="118">
        <f t="shared" si="12"/>
        <v>0.34037558685446001</v>
      </c>
      <c r="G144" s="117">
        <v>987</v>
      </c>
      <c r="H144" s="118">
        <f t="shared" si="12"/>
        <v>-0.13572679509632224</v>
      </c>
      <c r="I144" s="117">
        <v>991</v>
      </c>
      <c r="J144" s="118">
        <f t="shared" si="12"/>
        <v>4.0526849037487711E-3</v>
      </c>
      <c r="K144" s="117">
        <v>1139</v>
      </c>
      <c r="L144" s="118">
        <f t="shared" si="13"/>
        <v>0.14934409687184669</v>
      </c>
    </row>
    <row r="145" spans="1:13" x14ac:dyDescent="0.25">
      <c r="B145" s="116" t="s">
        <v>84</v>
      </c>
      <c r="C145" s="117">
        <v>480</v>
      </c>
      <c r="D145" s="118">
        <v>0.35593220338983045</v>
      </c>
      <c r="E145" s="117">
        <v>474</v>
      </c>
      <c r="F145" s="118">
        <f t="shared" si="12"/>
        <v>-1.2499999999999956E-2</v>
      </c>
      <c r="G145" s="117">
        <v>450</v>
      </c>
      <c r="H145" s="118">
        <f t="shared" si="12"/>
        <v>-5.0632911392405111E-2</v>
      </c>
      <c r="I145" s="117">
        <v>496</v>
      </c>
      <c r="J145" s="118">
        <f t="shared" si="12"/>
        <v>0.10222222222222221</v>
      </c>
      <c r="K145" s="117">
        <v>497</v>
      </c>
      <c r="L145" s="118">
        <f t="shared" si="13"/>
        <v>2.0161290322580072E-3</v>
      </c>
    </row>
    <row r="146" spans="1:13" x14ac:dyDescent="0.25">
      <c r="B146" s="116" t="s">
        <v>86</v>
      </c>
      <c r="C146" s="117">
        <v>330</v>
      </c>
      <c r="D146" s="118">
        <v>-0.13157894736842102</v>
      </c>
      <c r="E146" s="117">
        <v>472</v>
      </c>
      <c r="F146" s="118">
        <f t="shared" si="12"/>
        <v>0.43030303030303041</v>
      </c>
      <c r="G146" s="117">
        <v>414</v>
      </c>
      <c r="H146" s="118">
        <f t="shared" si="12"/>
        <v>-0.1228813559322034</v>
      </c>
      <c r="I146" s="117">
        <v>341</v>
      </c>
      <c r="J146" s="118">
        <f t="shared" si="12"/>
        <v>-0.17632850241545894</v>
      </c>
      <c r="K146" s="117">
        <v>368</v>
      </c>
      <c r="L146" s="118">
        <f t="shared" si="13"/>
        <v>7.9178885630498463E-2</v>
      </c>
    </row>
    <row r="147" spans="1:13" x14ac:dyDescent="0.25">
      <c r="B147" s="116" t="s">
        <v>88</v>
      </c>
      <c r="C147" s="117">
        <v>456</v>
      </c>
      <c r="D147" s="118">
        <v>-8.6956521739129933E-3</v>
      </c>
      <c r="E147" s="117">
        <v>508</v>
      </c>
      <c r="F147" s="118">
        <f t="shared" si="12"/>
        <v>0.11403508771929816</v>
      </c>
      <c r="G147" s="117">
        <v>495</v>
      </c>
      <c r="H147" s="118">
        <f t="shared" si="12"/>
        <v>-2.5590551181102317E-2</v>
      </c>
      <c r="I147" s="117">
        <v>515</v>
      </c>
      <c r="J147" s="118">
        <f t="shared" si="12"/>
        <v>4.0404040404040442E-2</v>
      </c>
      <c r="K147" s="117">
        <v>408</v>
      </c>
      <c r="L147" s="118">
        <f t="shared" si="13"/>
        <v>-0.20776699029126211</v>
      </c>
    </row>
    <row r="148" spans="1:13" x14ac:dyDescent="0.25">
      <c r="B148" s="116" t="s">
        <v>90</v>
      </c>
      <c r="C148" s="117">
        <v>554</v>
      </c>
      <c r="D148" s="118">
        <v>0.38847117794486219</v>
      </c>
      <c r="E148" s="117">
        <v>557</v>
      </c>
      <c r="F148" s="118">
        <f t="shared" si="12"/>
        <v>5.4151624548737232E-3</v>
      </c>
      <c r="G148" s="117">
        <v>633</v>
      </c>
      <c r="H148" s="118">
        <f t="shared" si="12"/>
        <v>0.13644524236983835</v>
      </c>
      <c r="I148" s="117">
        <v>461</v>
      </c>
      <c r="J148" s="118">
        <f t="shared" si="12"/>
        <v>-0.27172195892575035</v>
      </c>
      <c r="K148" s="117"/>
      <c r="L148" s="118"/>
    </row>
    <row r="149" spans="1:13" x14ac:dyDescent="0.25">
      <c r="B149" s="116" t="s">
        <v>92</v>
      </c>
      <c r="C149" s="117">
        <v>710</v>
      </c>
      <c r="D149" s="118">
        <v>0.4579055441478439</v>
      </c>
      <c r="E149" s="117">
        <v>556</v>
      </c>
      <c r="F149" s="118">
        <f t="shared" si="12"/>
        <v>-0.21690140845070427</v>
      </c>
      <c r="G149" s="117">
        <v>520</v>
      </c>
      <c r="H149" s="118">
        <f t="shared" si="12"/>
        <v>-6.4748201438848962E-2</v>
      </c>
      <c r="I149" s="117">
        <v>664</v>
      </c>
      <c r="J149" s="118">
        <f t="shared" si="12"/>
        <v>0.27692307692307683</v>
      </c>
      <c r="K149" s="117"/>
      <c r="L149" s="118"/>
    </row>
    <row r="150" spans="1:13" x14ac:dyDescent="0.25">
      <c r="A150" s="122"/>
      <c r="B150" s="116" t="s">
        <v>94</v>
      </c>
      <c r="C150" s="117">
        <v>1127</v>
      </c>
      <c r="D150" s="118">
        <v>0.17763845350052243</v>
      </c>
      <c r="E150" s="117">
        <v>849</v>
      </c>
      <c r="F150" s="118">
        <f t="shared" si="12"/>
        <v>-0.24667258207630882</v>
      </c>
      <c r="G150" s="117">
        <v>789</v>
      </c>
      <c r="H150" s="118">
        <f t="shared" si="12"/>
        <v>-7.0671378091872739E-2</v>
      </c>
      <c r="I150" s="117">
        <v>1085</v>
      </c>
      <c r="J150" s="118">
        <f t="shared" si="12"/>
        <v>0.3751584283903675</v>
      </c>
      <c r="K150" s="117"/>
      <c r="L150" s="118"/>
    </row>
    <row r="151" spans="1:13" x14ac:dyDescent="0.25">
      <c r="B151" s="116" t="s">
        <v>96</v>
      </c>
      <c r="C151" s="117">
        <v>1713</v>
      </c>
      <c r="D151" s="118">
        <v>0.11161583387410778</v>
      </c>
      <c r="E151" s="117">
        <v>1379</v>
      </c>
      <c r="F151" s="118">
        <f t="shared" si="12"/>
        <v>-0.19497956800934035</v>
      </c>
      <c r="G151" s="117">
        <v>1624</v>
      </c>
      <c r="H151" s="118">
        <f t="shared" si="12"/>
        <v>0.17766497461928932</v>
      </c>
      <c r="I151" s="117">
        <v>2030</v>
      </c>
      <c r="J151" s="118">
        <f t="shared" si="12"/>
        <v>0.25</v>
      </c>
      <c r="K151" s="117"/>
      <c r="L151" s="118"/>
    </row>
    <row r="152" spans="1:13" x14ac:dyDescent="0.25">
      <c r="B152" s="116" t="s">
        <v>98</v>
      </c>
      <c r="C152" s="117">
        <v>2050</v>
      </c>
      <c r="D152" s="118">
        <v>0.52190051967334816</v>
      </c>
      <c r="E152" s="117">
        <v>1862</v>
      </c>
      <c r="F152" s="118">
        <f t="shared" si="12"/>
        <v>-9.1707317073170702E-2</v>
      </c>
      <c r="G152" s="117">
        <v>1899</v>
      </c>
      <c r="H152" s="118">
        <f t="shared" si="12"/>
        <v>1.9871106337271849E-2</v>
      </c>
      <c r="I152" s="117">
        <v>2644</v>
      </c>
      <c r="J152" s="118">
        <f t="shared" si="12"/>
        <v>0.39231174302264349</v>
      </c>
      <c r="K152" s="117"/>
      <c r="L152" s="118"/>
    </row>
    <row r="153" spans="1:13" ht="15.75" x14ac:dyDescent="0.25">
      <c r="B153" s="119" t="s">
        <v>32</v>
      </c>
      <c r="C153" s="120">
        <v>11261</v>
      </c>
      <c r="D153" s="121">
        <v>0.53964998632759098</v>
      </c>
      <c r="E153" s="120">
        <v>13315</v>
      </c>
      <c r="F153" s="121">
        <f t="shared" si="12"/>
        <v>0.18239943166681472</v>
      </c>
      <c r="G153" s="120">
        <v>13141</v>
      </c>
      <c r="H153" s="121">
        <f t="shared" si="12"/>
        <v>-1.3067968456627832E-2</v>
      </c>
      <c r="I153" s="120">
        <v>15417</v>
      </c>
      <c r="J153" s="121">
        <f t="shared" si="12"/>
        <v>0.17319838672855936</v>
      </c>
      <c r="K153" s="120">
        <v>9137</v>
      </c>
      <c r="L153" s="121">
        <v>7.0784015000586065E-2</v>
      </c>
    </row>
    <row r="154" spans="1:13" ht="6" customHeight="1" x14ac:dyDescent="0.25"/>
    <row r="155" spans="1:13" x14ac:dyDescent="0.25">
      <c r="B155" s="107" t="s">
        <v>57</v>
      </c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</row>
    <row r="156" spans="1:13" x14ac:dyDescent="0.25">
      <c r="I156" s="122"/>
      <c r="L156" s="126"/>
    </row>
    <row r="158" spans="1:13" ht="48.75" customHeight="1" thickBot="1" x14ac:dyDescent="0.3">
      <c r="B158" s="273" t="s">
        <v>252</v>
      </c>
      <c r="C158" s="273"/>
      <c r="D158" s="273"/>
      <c r="E158" s="273"/>
      <c r="F158" s="273"/>
      <c r="G158" s="273"/>
      <c r="H158" s="273"/>
      <c r="I158" s="273"/>
      <c r="J158" s="273"/>
      <c r="K158" s="273"/>
      <c r="L158" s="273"/>
      <c r="M158" s="1" t="s">
        <v>119</v>
      </c>
    </row>
    <row r="159" spans="1:13" ht="10.5" customHeight="1" thickBot="1" x14ac:dyDescent="0.3">
      <c r="B159" s="109"/>
      <c r="C159" s="110"/>
      <c r="D159" s="109"/>
      <c r="E159" s="109"/>
      <c r="F159" s="109"/>
      <c r="G159" s="109"/>
      <c r="H159" s="109"/>
      <c r="I159" s="109"/>
      <c r="J159" s="109"/>
      <c r="K159" s="4"/>
      <c r="L159" s="4"/>
      <c r="M159" s="1" t="s">
        <v>120</v>
      </c>
    </row>
    <row r="160" spans="1:13" ht="22.5" thickTop="1" thickBot="1" x14ac:dyDescent="0.3">
      <c r="B160" s="123" t="str">
        <f>C160</f>
        <v>Francia</v>
      </c>
      <c r="C160" s="298" t="s">
        <v>121</v>
      </c>
      <c r="D160" s="299"/>
      <c r="E160" s="299"/>
      <c r="F160" s="299"/>
      <c r="G160" s="299"/>
      <c r="H160" s="299"/>
      <c r="I160" s="299"/>
      <c r="J160" s="299"/>
      <c r="K160" s="299"/>
      <c r="L160" s="299"/>
    </row>
    <row r="161" spans="2:12" ht="22.5" thickTop="1" thickBot="1" x14ac:dyDescent="0.3">
      <c r="B161" s="112"/>
      <c r="C161" s="303">
        <f>C$7</f>
        <v>2022</v>
      </c>
      <c r="D161" s="301"/>
      <c r="E161" s="303">
        <f>E$7</f>
        <v>2023</v>
      </c>
      <c r="F161" s="301"/>
      <c r="G161" s="303">
        <f>G$7</f>
        <v>2024</v>
      </c>
      <c r="H161" s="301"/>
      <c r="I161" s="303">
        <f>I$7</f>
        <v>2025</v>
      </c>
      <c r="J161" s="301"/>
      <c r="K161" s="303">
        <f>K$7</f>
        <v>2026</v>
      </c>
      <c r="L161" s="301"/>
    </row>
    <row r="162" spans="2:12" ht="16.5" thickTop="1" thickBot="1" x14ac:dyDescent="0.3">
      <c r="B162" s="87"/>
      <c r="C162" s="113" t="s">
        <v>74</v>
      </c>
      <c r="D162" s="114" t="str">
        <f>CONCATENATE("var ",RIGHT(C161,2),"/",RIGHT(C161-1,2))</f>
        <v>var 22/21</v>
      </c>
      <c r="E162" s="115" t="s">
        <v>74</v>
      </c>
      <c r="F162" s="114" t="str">
        <f>CONCATENATE("var ",RIGHT(E161,2),"/",RIGHT(E161-1,2))</f>
        <v>var 23/22</v>
      </c>
      <c r="G162" s="115" t="s">
        <v>74</v>
      </c>
      <c r="H162" s="114" t="str">
        <f>CONCATENATE("var ",RIGHT(G161,2),"/",RIGHT(G161-1,2))</f>
        <v>var 24/23</v>
      </c>
      <c r="I162" s="115" t="s">
        <v>74</v>
      </c>
      <c r="J162" s="114" t="str">
        <f>CONCATENATE("var ",RIGHT(I161,2),"/",RIGHT(I161-1,2))</f>
        <v>var 25/24</v>
      </c>
      <c r="K162" s="115" t="s">
        <v>74</v>
      </c>
      <c r="L162" s="114" t="str">
        <f>CONCATENATE("var ",RIGHT(K161,2),"/",RIGHT(K161-1,2))</f>
        <v>var 26/25</v>
      </c>
    </row>
    <row r="163" spans="2:12" x14ac:dyDescent="0.25">
      <c r="B163" s="116" t="s">
        <v>76</v>
      </c>
      <c r="C163" s="117">
        <v>659</v>
      </c>
      <c r="D163" s="118">
        <v>1.5944881889763778</v>
      </c>
      <c r="E163" s="117">
        <v>1025</v>
      </c>
      <c r="F163" s="118">
        <f t="shared" ref="F163:J175" si="14">IFERROR(E163/C163-1,"-")</f>
        <v>0.55538694992412752</v>
      </c>
      <c r="G163" s="117">
        <v>871</v>
      </c>
      <c r="H163" s="118">
        <f t="shared" si="14"/>
        <v>-0.15024390243902441</v>
      </c>
      <c r="I163" s="117">
        <v>858</v>
      </c>
      <c r="J163" s="118">
        <f t="shared" si="14"/>
        <v>-1.4925373134328401E-2</v>
      </c>
      <c r="K163" s="117">
        <v>951</v>
      </c>
      <c r="L163" s="118">
        <f t="shared" ref="L163:L169" si="15">IFERROR(K163/I163-1,"-")</f>
        <v>0.10839160839160833</v>
      </c>
    </row>
    <row r="164" spans="2:12" x14ac:dyDescent="0.25">
      <c r="B164" s="116" t="s">
        <v>78</v>
      </c>
      <c r="C164" s="117">
        <v>884</v>
      </c>
      <c r="D164" s="118">
        <v>1.5329512893982806</v>
      </c>
      <c r="E164" s="117">
        <v>854</v>
      </c>
      <c r="F164" s="118">
        <f t="shared" si="14"/>
        <v>-3.3936651583710398E-2</v>
      </c>
      <c r="G164" s="117">
        <v>776</v>
      </c>
      <c r="H164" s="118">
        <f t="shared" si="14"/>
        <v>-9.1334894613583129E-2</v>
      </c>
      <c r="I164" s="117">
        <v>1068</v>
      </c>
      <c r="J164" s="118">
        <f t="shared" si="14"/>
        <v>0.37628865979381443</v>
      </c>
      <c r="K164" s="117">
        <v>906</v>
      </c>
      <c r="L164" s="118">
        <f t="shared" si="15"/>
        <v>-0.151685393258427</v>
      </c>
    </row>
    <row r="165" spans="2:12" x14ac:dyDescent="0.25">
      <c r="B165" s="116" t="s">
        <v>80</v>
      </c>
      <c r="C165" s="117">
        <v>918</v>
      </c>
      <c r="D165" s="118">
        <v>0.6875</v>
      </c>
      <c r="E165" s="117">
        <v>952</v>
      </c>
      <c r="F165" s="118">
        <f t="shared" si="14"/>
        <v>3.7037037037036979E-2</v>
      </c>
      <c r="G165" s="117">
        <v>929</v>
      </c>
      <c r="H165" s="118">
        <f t="shared" si="14"/>
        <v>-2.4159663865546244E-2</v>
      </c>
      <c r="I165" s="117">
        <v>747</v>
      </c>
      <c r="J165" s="118">
        <f t="shared" si="14"/>
        <v>-0.1959095801937567</v>
      </c>
      <c r="K165" s="117">
        <v>1029</v>
      </c>
      <c r="L165" s="118">
        <f t="shared" si="15"/>
        <v>0.3775100401606426</v>
      </c>
    </row>
    <row r="166" spans="2:12" x14ac:dyDescent="0.25">
      <c r="B166" s="116" t="s">
        <v>82</v>
      </c>
      <c r="C166" s="117">
        <v>591</v>
      </c>
      <c r="D166" s="118">
        <v>7.0652173913043459E-2</v>
      </c>
      <c r="E166" s="117">
        <v>615</v>
      </c>
      <c r="F166" s="118">
        <f t="shared" si="14"/>
        <v>4.0609137055837463E-2</v>
      </c>
      <c r="G166" s="117">
        <v>585</v>
      </c>
      <c r="H166" s="118">
        <f t="shared" si="14"/>
        <v>-4.8780487804878092E-2</v>
      </c>
      <c r="I166" s="117">
        <v>630</v>
      </c>
      <c r="J166" s="118">
        <f t="shared" si="14"/>
        <v>7.6923076923076872E-2</v>
      </c>
      <c r="K166" s="117">
        <v>759</v>
      </c>
      <c r="L166" s="118">
        <f t="shared" si="15"/>
        <v>0.2047619047619047</v>
      </c>
    </row>
    <row r="167" spans="2:12" x14ac:dyDescent="0.25">
      <c r="B167" s="116" t="s">
        <v>84</v>
      </c>
      <c r="C167" s="117">
        <v>585</v>
      </c>
      <c r="D167" s="118">
        <v>-0.2714819427148194</v>
      </c>
      <c r="E167" s="117">
        <v>589</v>
      </c>
      <c r="F167" s="118">
        <f t="shared" si="14"/>
        <v>6.8376068376068133E-3</v>
      </c>
      <c r="G167" s="117">
        <v>640</v>
      </c>
      <c r="H167" s="118">
        <f t="shared" si="14"/>
        <v>8.6587436332767442E-2</v>
      </c>
      <c r="I167" s="117">
        <v>580</v>
      </c>
      <c r="J167" s="118">
        <f t="shared" si="14"/>
        <v>-9.375E-2</v>
      </c>
      <c r="K167" s="117">
        <v>541</v>
      </c>
      <c r="L167" s="118">
        <f t="shared" si="15"/>
        <v>-6.7241379310344795E-2</v>
      </c>
    </row>
    <row r="168" spans="2:12" x14ac:dyDescent="0.25">
      <c r="B168" s="116" t="s">
        <v>86</v>
      </c>
      <c r="C168" s="117">
        <v>399</v>
      </c>
      <c r="D168" s="118">
        <v>7.575757575757569E-3</v>
      </c>
      <c r="E168" s="117">
        <v>441</v>
      </c>
      <c r="F168" s="118">
        <f t="shared" si="14"/>
        <v>0.10526315789473695</v>
      </c>
      <c r="G168" s="117">
        <v>365</v>
      </c>
      <c r="H168" s="118">
        <f t="shared" si="14"/>
        <v>-0.17233560090702948</v>
      </c>
      <c r="I168" s="117">
        <v>392</v>
      </c>
      <c r="J168" s="118">
        <f t="shared" si="14"/>
        <v>7.3972602739726057E-2</v>
      </c>
      <c r="K168" s="117">
        <v>316</v>
      </c>
      <c r="L168" s="118">
        <f t="shared" si="15"/>
        <v>-0.19387755102040816</v>
      </c>
    </row>
    <row r="169" spans="2:12" x14ac:dyDescent="0.25">
      <c r="B169" s="116" t="s">
        <v>88</v>
      </c>
      <c r="C169" s="117">
        <v>405</v>
      </c>
      <c r="D169" s="118">
        <v>-0.29809358752166382</v>
      </c>
      <c r="E169" s="117">
        <v>503</v>
      </c>
      <c r="F169" s="118">
        <f t="shared" si="14"/>
        <v>0.24197530864197536</v>
      </c>
      <c r="G169" s="117">
        <v>436</v>
      </c>
      <c r="H169" s="118">
        <f t="shared" si="14"/>
        <v>-0.13320079522862827</v>
      </c>
      <c r="I169" s="117">
        <v>753</v>
      </c>
      <c r="J169" s="118">
        <f t="shared" si="14"/>
        <v>0.72706422018348627</v>
      </c>
      <c r="K169" s="117">
        <v>592</v>
      </c>
      <c r="L169" s="118">
        <f t="shared" si="15"/>
        <v>-0.21381142098273576</v>
      </c>
    </row>
    <row r="170" spans="2:12" x14ac:dyDescent="0.25">
      <c r="B170" s="116" t="s">
        <v>90</v>
      </c>
      <c r="C170" s="117">
        <v>879</v>
      </c>
      <c r="D170" s="118">
        <v>2.8070175438596578E-2</v>
      </c>
      <c r="E170" s="117">
        <v>818</v>
      </c>
      <c r="F170" s="118">
        <f t="shared" si="14"/>
        <v>-6.9397042093287786E-2</v>
      </c>
      <c r="G170" s="117">
        <v>1062</v>
      </c>
      <c r="H170" s="118">
        <f t="shared" si="14"/>
        <v>0.29828850855745714</v>
      </c>
      <c r="I170" s="117">
        <v>1043</v>
      </c>
      <c r="J170" s="118">
        <f t="shared" si="14"/>
        <v>-1.7890772128060228E-2</v>
      </c>
      <c r="K170" s="117"/>
      <c r="L170" s="118"/>
    </row>
    <row r="171" spans="2:12" x14ac:dyDescent="0.25">
      <c r="B171" s="116" t="s">
        <v>92</v>
      </c>
      <c r="C171" s="117">
        <v>557</v>
      </c>
      <c r="D171" s="118">
        <v>7.2332730560578096E-3</v>
      </c>
      <c r="E171" s="117">
        <v>548</v>
      </c>
      <c r="F171" s="118">
        <f t="shared" si="14"/>
        <v>-1.6157989228007152E-2</v>
      </c>
      <c r="G171" s="117">
        <v>597</v>
      </c>
      <c r="H171" s="118">
        <f t="shared" si="14"/>
        <v>8.9416058394160558E-2</v>
      </c>
      <c r="I171" s="117">
        <v>719</v>
      </c>
      <c r="J171" s="118">
        <f t="shared" si="14"/>
        <v>0.20435510887772201</v>
      </c>
      <c r="K171" s="117"/>
      <c r="L171" s="118"/>
    </row>
    <row r="172" spans="2:12" x14ac:dyDescent="0.25">
      <c r="B172" s="116" t="s">
        <v>94</v>
      </c>
      <c r="C172" s="117">
        <v>660</v>
      </c>
      <c r="D172" s="118">
        <v>4.2654028436019065E-2</v>
      </c>
      <c r="E172" s="117">
        <v>726</v>
      </c>
      <c r="F172" s="118">
        <f t="shared" si="14"/>
        <v>0.10000000000000009</v>
      </c>
      <c r="G172" s="117">
        <v>682</v>
      </c>
      <c r="H172" s="118">
        <f t="shared" si="14"/>
        <v>-6.0606060606060552E-2</v>
      </c>
      <c r="I172" s="117">
        <v>777</v>
      </c>
      <c r="J172" s="118">
        <f t="shared" si="14"/>
        <v>0.13929618768328456</v>
      </c>
      <c r="K172" s="117"/>
      <c r="L172" s="118"/>
    </row>
    <row r="173" spans="2:12" x14ac:dyDescent="0.25">
      <c r="B173" s="116" t="s">
        <v>96</v>
      </c>
      <c r="C173" s="117">
        <v>960</v>
      </c>
      <c r="D173" s="118">
        <v>0.10854503464203225</v>
      </c>
      <c r="E173" s="117">
        <v>984</v>
      </c>
      <c r="F173" s="118">
        <f t="shared" si="14"/>
        <v>2.4999999999999911E-2</v>
      </c>
      <c r="G173" s="117">
        <v>797</v>
      </c>
      <c r="H173" s="118">
        <f t="shared" si="14"/>
        <v>-0.19004065040650409</v>
      </c>
      <c r="I173" s="117">
        <v>1002</v>
      </c>
      <c r="J173" s="118">
        <f t="shared" si="14"/>
        <v>0.25721455457967379</v>
      </c>
      <c r="K173" s="117"/>
      <c r="L173" s="118"/>
    </row>
    <row r="174" spans="2:12" x14ac:dyDescent="0.25">
      <c r="B174" s="116" t="s">
        <v>98</v>
      </c>
      <c r="C174" s="117">
        <v>1027</v>
      </c>
      <c r="D174" s="118">
        <v>0.36569148936170204</v>
      </c>
      <c r="E174" s="117">
        <v>725</v>
      </c>
      <c r="F174" s="118">
        <f t="shared" si="14"/>
        <v>-0.29406037000973706</v>
      </c>
      <c r="G174" s="117">
        <v>847</v>
      </c>
      <c r="H174" s="118">
        <f t="shared" si="14"/>
        <v>0.1682758620689655</v>
      </c>
      <c r="I174" s="117">
        <v>965</v>
      </c>
      <c r="J174" s="118">
        <f t="shared" si="14"/>
        <v>0.13931523022432124</v>
      </c>
      <c r="K174" s="117"/>
      <c r="L174" s="118"/>
    </row>
    <row r="175" spans="2:12" ht="15.75" x14ac:dyDescent="0.25">
      <c r="B175" s="119" t="s">
        <v>32</v>
      </c>
      <c r="C175" s="120">
        <v>8524</v>
      </c>
      <c r="D175" s="121">
        <v>0.19484160358844971</v>
      </c>
      <c r="E175" s="120">
        <v>8780</v>
      </c>
      <c r="F175" s="121">
        <f t="shared" si="14"/>
        <v>3.0032848427968162E-2</v>
      </c>
      <c r="G175" s="120">
        <v>8587</v>
      </c>
      <c r="H175" s="121">
        <f t="shared" si="14"/>
        <v>-2.1981776765375827E-2</v>
      </c>
      <c r="I175" s="120">
        <v>9534</v>
      </c>
      <c r="J175" s="121">
        <f t="shared" si="14"/>
        <v>0.11028298590893204</v>
      </c>
      <c r="K175" s="120">
        <v>5094</v>
      </c>
      <c r="L175" s="121">
        <v>1.3126491646778149E-2</v>
      </c>
    </row>
    <row r="176" spans="2:12" ht="6" customHeight="1" x14ac:dyDescent="0.25"/>
    <row r="177" spans="1:13" x14ac:dyDescent="0.25">
      <c r="B177" s="107" t="s">
        <v>57</v>
      </c>
      <c r="C177" s="107"/>
      <c r="D177" s="107"/>
      <c r="E177" s="107"/>
      <c r="F177" s="107"/>
      <c r="G177" s="107"/>
      <c r="H177" s="107"/>
      <c r="I177" s="127"/>
      <c r="J177" s="107"/>
      <c r="K177" s="107"/>
      <c r="L177" s="107"/>
    </row>
    <row r="180" spans="1:13" ht="48.75" customHeight="1" thickBot="1" x14ac:dyDescent="0.3">
      <c r="B180" s="273" t="s">
        <v>253</v>
      </c>
      <c r="C180" s="273"/>
      <c r="D180" s="273"/>
      <c r="E180" s="273"/>
      <c r="F180" s="273"/>
      <c r="G180" s="273"/>
      <c r="H180" s="273"/>
      <c r="I180" s="273"/>
      <c r="J180" s="273"/>
      <c r="K180" s="273"/>
      <c r="L180" s="273"/>
      <c r="M180" s="1" t="s">
        <v>122</v>
      </c>
    </row>
    <row r="181" spans="1:13" ht="10.5" customHeight="1" thickBot="1" x14ac:dyDescent="0.3">
      <c r="B181" s="109"/>
      <c r="C181" s="110"/>
      <c r="D181" s="109"/>
      <c r="E181" s="109"/>
      <c r="F181" s="109"/>
      <c r="G181" s="109"/>
      <c r="H181" s="109"/>
      <c r="I181" s="109"/>
      <c r="J181" s="109"/>
      <c r="K181" s="4"/>
      <c r="L181" s="4"/>
      <c r="M181" s="1" t="s">
        <v>123</v>
      </c>
    </row>
    <row r="182" spans="1:13" ht="22.5" thickTop="1" thickBot="1" x14ac:dyDescent="0.3">
      <c r="B182" s="123" t="str">
        <f>C182</f>
        <v>Bélgica</v>
      </c>
      <c r="C182" s="298" t="s">
        <v>124</v>
      </c>
      <c r="D182" s="299"/>
      <c r="E182" s="299"/>
      <c r="F182" s="299"/>
      <c r="G182" s="299"/>
      <c r="H182" s="299"/>
      <c r="I182" s="299"/>
      <c r="J182" s="299"/>
      <c r="K182" s="299"/>
      <c r="L182" s="299"/>
    </row>
    <row r="183" spans="1:13" ht="22.5" thickTop="1" thickBot="1" x14ac:dyDescent="0.3">
      <c r="B183" s="112"/>
      <c r="C183" s="303">
        <f>C$7</f>
        <v>2022</v>
      </c>
      <c r="D183" s="301"/>
      <c r="E183" s="303">
        <f>E$7</f>
        <v>2023</v>
      </c>
      <c r="F183" s="301"/>
      <c r="G183" s="303">
        <f>G$7</f>
        <v>2024</v>
      </c>
      <c r="H183" s="301"/>
      <c r="I183" s="303">
        <f>I$7</f>
        <v>2025</v>
      </c>
      <c r="J183" s="301"/>
      <c r="K183" s="303">
        <f>K$7</f>
        <v>2026</v>
      </c>
      <c r="L183" s="301"/>
    </row>
    <row r="184" spans="1:13" ht="16.5" thickTop="1" thickBot="1" x14ac:dyDescent="0.3">
      <c r="B184" s="87"/>
      <c r="C184" s="113" t="s">
        <v>74</v>
      </c>
      <c r="D184" s="114" t="str">
        <f>CONCATENATE("var ",RIGHT(C183,2),"/",RIGHT(C183-1,2))</f>
        <v>var 22/21</v>
      </c>
      <c r="E184" s="115" t="s">
        <v>74</v>
      </c>
      <c r="F184" s="114" t="str">
        <f>CONCATENATE("var ",RIGHT(E183,2),"/",RIGHT(E183-1,2))</f>
        <v>var 23/22</v>
      </c>
      <c r="G184" s="115" t="s">
        <v>74</v>
      </c>
      <c r="H184" s="114" t="str">
        <f>CONCATENATE("var ",RIGHT(G183,2),"/",RIGHT(G183-1,2))</f>
        <v>var 24/23</v>
      </c>
      <c r="I184" s="115" t="s">
        <v>74</v>
      </c>
      <c r="J184" s="114" t="str">
        <f>CONCATENATE("var ",RIGHT(I183,2),"/",RIGHT(I183-1,2))</f>
        <v>var 25/24</v>
      </c>
      <c r="K184" s="115" t="s">
        <v>74</v>
      </c>
      <c r="L184" s="114" t="str">
        <f>CONCATENATE("var ",RIGHT(K183,2),"/",RIGHT(K183-1,2))</f>
        <v>var 26/25</v>
      </c>
    </row>
    <row r="185" spans="1:13" x14ac:dyDescent="0.25">
      <c r="A185" s="122"/>
      <c r="B185" s="116" t="s">
        <v>76</v>
      </c>
      <c r="C185" s="117">
        <v>170</v>
      </c>
      <c r="D185" s="118">
        <v>2.9534883720930232</v>
      </c>
      <c r="E185" s="117">
        <v>239</v>
      </c>
      <c r="F185" s="118">
        <f t="shared" ref="F185:J197" si="16">IFERROR(E185/C185-1,"-")</f>
        <v>0.40588235294117636</v>
      </c>
      <c r="G185" s="117">
        <v>283</v>
      </c>
      <c r="H185" s="118">
        <f t="shared" si="16"/>
        <v>0.18410041841004188</v>
      </c>
      <c r="I185" s="117">
        <v>323</v>
      </c>
      <c r="J185" s="118">
        <f t="shared" si="16"/>
        <v>0.14134275618374548</v>
      </c>
      <c r="K185" s="117">
        <v>270</v>
      </c>
      <c r="L185" s="118">
        <f t="shared" ref="L185:L191" si="17">IFERROR(K185/I185-1,"-")</f>
        <v>-0.16408668730650156</v>
      </c>
    </row>
    <row r="186" spans="1:13" x14ac:dyDescent="0.25">
      <c r="B186" s="116" t="s">
        <v>78</v>
      </c>
      <c r="C186" s="117">
        <v>179</v>
      </c>
      <c r="D186" s="118">
        <v>3.8378378378378377</v>
      </c>
      <c r="E186" s="117">
        <v>200</v>
      </c>
      <c r="F186" s="118">
        <f t="shared" si="16"/>
        <v>0.11731843575418988</v>
      </c>
      <c r="G186" s="117">
        <v>198</v>
      </c>
      <c r="H186" s="118">
        <f t="shared" si="16"/>
        <v>-1.0000000000000009E-2</v>
      </c>
      <c r="I186" s="117">
        <v>222</v>
      </c>
      <c r="J186" s="118">
        <f t="shared" si="16"/>
        <v>0.1212121212121211</v>
      </c>
      <c r="K186" s="117">
        <v>272</v>
      </c>
      <c r="L186" s="118">
        <f t="shared" si="17"/>
        <v>0.22522522522522515</v>
      </c>
    </row>
    <row r="187" spans="1:13" x14ac:dyDescent="0.25">
      <c r="B187" s="116" t="s">
        <v>80</v>
      </c>
      <c r="C187" s="117">
        <v>197</v>
      </c>
      <c r="D187" s="118">
        <v>5.15625</v>
      </c>
      <c r="E187" s="117">
        <v>206</v>
      </c>
      <c r="F187" s="118">
        <f t="shared" si="16"/>
        <v>4.5685279187817285E-2</v>
      </c>
      <c r="G187" s="117">
        <v>181</v>
      </c>
      <c r="H187" s="118">
        <f t="shared" si="16"/>
        <v>-0.12135922330097082</v>
      </c>
      <c r="I187" s="117">
        <v>183</v>
      </c>
      <c r="J187" s="118">
        <f t="shared" si="16"/>
        <v>1.1049723756906049E-2</v>
      </c>
      <c r="K187" s="117">
        <v>274</v>
      </c>
      <c r="L187" s="118">
        <f t="shared" si="17"/>
        <v>0.49726775956284164</v>
      </c>
    </row>
    <row r="188" spans="1:13" x14ac:dyDescent="0.25">
      <c r="B188" s="116" t="s">
        <v>82</v>
      </c>
      <c r="C188" s="117">
        <v>118</v>
      </c>
      <c r="D188" s="118">
        <v>2.806451612903226</v>
      </c>
      <c r="E188" s="117">
        <v>119</v>
      </c>
      <c r="F188" s="118">
        <f t="shared" si="16"/>
        <v>8.4745762711864181E-3</v>
      </c>
      <c r="G188" s="117">
        <v>107</v>
      </c>
      <c r="H188" s="118">
        <f t="shared" si="16"/>
        <v>-0.10084033613445376</v>
      </c>
      <c r="I188" s="117">
        <v>135</v>
      </c>
      <c r="J188" s="118">
        <f t="shared" si="16"/>
        <v>0.26168224299065423</v>
      </c>
      <c r="K188" s="117">
        <v>166</v>
      </c>
      <c r="L188" s="118">
        <f t="shared" si="17"/>
        <v>0.22962962962962963</v>
      </c>
    </row>
    <row r="189" spans="1:13" x14ac:dyDescent="0.25">
      <c r="B189" s="116" t="s">
        <v>84</v>
      </c>
      <c r="C189" s="117">
        <v>117</v>
      </c>
      <c r="D189" s="118">
        <v>0.18181818181818188</v>
      </c>
      <c r="E189" s="117">
        <v>90</v>
      </c>
      <c r="F189" s="118">
        <f t="shared" si="16"/>
        <v>-0.23076923076923073</v>
      </c>
      <c r="G189" s="117">
        <v>133</v>
      </c>
      <c r="H189" s="118">
        <f t="shared" si="16"/>
        <v>0.47777777777777786</v>
      </c>
      <c r="I189" s="117">
        <v>153</v>
      </c>
      <c r="J189" s="118">
        <f t="shared" si="16"/>
        <v>0.15037593984962405</v>
      </c>
      <c r="K189" s="117">
        <v>110</v>
      </c>
      <c r="L189" s="118">
        <f t="shared" si="17"/>
        <v>-0.28104575163398693</v>
      </c>
    </row>
    <row r="190" spans="1:13" x14ac:dyDescent="0.25">
      <c r="B190" s="116" t="s">
        <v>125</v>
      </c>
      <c r="C190" s="117">
        <v>96</v>
      </c>
      <c r="D190" s="118">
        <v>0.52380952380952372</v>
      </c>
      <c r="E190" s="117">
        <v>86</v>
      </c>
      <c r="F190" s="118">
        <f t="shared" si="16"/>
        <v>-0.10416666666666663</v>
      </c>
      <c r="G190" s="117">
        <v>117</v>
      </c>
      <c r="H190" s="118">
        <f t="shared" si="16"/>
        <v>0.36046511627906974</v>
      </c>
      <c r="I190" s="117">
        <v>111</v>
      </c>
      <c r="J190" s="118">
        <f t="shared" si="16"/>
        <v>-5.1282051282051322E-2</v>
      </c>
      <c r="K190" s="117">
        <v>80</v>
      </c>
      <c r="L190" s="118">
        <f t="shared" si="17"/>
        <v>-0.27927927927927931</v>
      </c>
    </row>
    <row r="191" spans="1:13" x14ac:dyDescent="0.25">
      <c r="B191" s="116" t="s">
        <v>88</v>
      </c>
      <c r="C191" s="117">
        <v>109</v>
      </c>
      <c r="D191" s="118">
        <v>0.31325301204819267</v>
      </c>
      <c r="E191" s="117">
        <v>136</v>
      </c>
      <c r="F191" s="118">
        <f t="shared" si="16"/>
        <v>0.24770642201834869</v>
      </c>
      <c r="G191" s="117">
        <v>123</v>
      </c>
      <c r="H191" s="118">
        <f t="shared" si="16"/>
        <v>-9.5588235294117641E-2</v>
      </c>
      <c r="I191" s="117">
        <v>186</v>
      </c>
      <c r="J191" s="118">
        <f t="shared" si="16"/>
        <v>0.51219512195121952</v>
      </c>
      <c r="K191" s="117">
        <v>166</v>
      </c>
      <c r="L191" s="118">
        <f t="shared" si="17"/>
        <v>-0.10752688172043012</v>
      </c>
    </row>
    <row r="192" spans="1:13" x14ac:dyDescent="0.25">
      <c r="B192" s="116" t="s">
        <v>90</v>
      </c>
      <c r="C192" s="117">
        <v>180</v>
      </c>
      <c r="D192" s="118">
        <v>0.74757281553398047</v>
      </c>
      <c r="E192" s="117">
        <v>119</v>
      </c>
      <c r="F192" s="118">
        <f t="shared" si="16"/>
        <v>-0.33888888888888891</v>
      </c>
      <c r="G192" s="117">
        <v>112</v>
      </c>
      <c r="H192" s="118">
        <f t="shared" si="16"/>
        <v>-5.8823529411764719E-2</v>
      </c>
      <c r="I192" s="117">
        <v>259</v>
      </c>
      <c r="J192" s="118">
        <f t="shared" si="16"/>
        <v>1.3125</v>
      </c>
      <c r="K192" s="117"/>
      <c r="L192" s="118"/>
    </row>
    <row r="193" spans="2:13" x14ac:dyDescent="0.25">
      <c r="B193" s="116" t="s">
        <v>92</v>
      </c>
      <c r="C193" s="117">
        <v>97</v>
      </c>
      <c r="D193" s="118">
        <v>0.11494252873563227</v>
      </c>
      <c r="E193" s="117">
        <v>102</v>
      </c>
      <c r="F193" s="118">
        <f t="shared" si="16"/>
        <v>5.1546391752577359E-2</v>
      </c>
      <c r="G193" s="117">
        <v>143</v>
      </c>
      <c r="H193" s="118">
        <f t="shared" si="16"/>
        <v>0.40196078431372539</v>
      </c>
      <c r="I193" s="117">
        <v>145</v>
      </c>
      <c r="J193" s="118">
        <f t="shared" si="16"/>
        <v>1.3986013986013957E-2</v>
      </c>
      <c r="K193" s="117"/>
      <c r="L193" s="118"/>
    </row>
    <row r="194" spans="2:13" x14ac:dyDescent="0.25">
      <c r="B194" s="116" t="s">
        <v>94</v>
      </c>
      <c r="C194" s="117">
        <v>110</v>
      </c>
      <c r="D194" s="118">
        <v>-0.37853107344632764</v>
      </c>
      <c r="E194" s="117">
        <v>137</v>
      </c>
      <c r="F194" s="118">
        <f t="shared" si="16"/>
        <v>0.24545454545454537</v>
      </c>
      <c r="G194" s="117">
        <v>155</v>
      </c>
      <c r="H194" s="118">
        <f t="shared" si="16"/>
        <v>0.13138686131386867</v>
      </c>
      <c r="I194" s="117">
        <v>199</v>
      </c>
      <c r="J194" s="118">
        <f t="shared" si="16"/>
        <v>0.28387096774193554</v>
      </c>
      <c r="K194" s="117"/>
      <c r="L194" s="118"/>
    </row>
    <row r="195" spans="2:13" x14ac:dyDescent="0.25">
      <c r="B195" s="116" t="s">
        <v>96</v>
      </c>
      <c r="C195" s="117">
        <v>182</v>
      </c>
      <c r="D195" s="118">
        <v>-0.54838709677419351</v>
      </c>
      <c r="E195" s="117">
        <v>273</v>
      </c>
      <c r="F195" s="118">
        <f t="shared" si="16"/>
        <v>0.5</v>
      </c>
      <c r="G195" s="117">
        <v>235</v>
      </c>
      <c r="H195" s="118">
        <f t="shared" si="16"/>
        <v>-0.13919413919413914</v>
      </c>
      <c r="I195" s="117">
        <v>324</v>
      </c>
      <c r="J195" s="118">
        <f t="shared" si="16"/>
        <v>0.37872340425531914</v>
      </c>
      <c r="K195" s="117"/>
      <c r="L195" s="118"/>
    </row>
    <row r="196" spans="2:13" x14ac:dyDescent="0.25">
      <c r="B196" s="116" t="s">
        <v>98</v>
      </c>
      <c r="C196" s="117">
        <v>281</v>
      </c>
      <c r="D196" s="118">
        <v>0.4120603015075377</v>
      </c>
      <c r="E196" s="117">
        <v>228</v>
      </c>
      <c r="F196" s="118">
        <f t="shared" si="16"/>
        <v>-0.18861209964412806</v>
      </c>
      <c r="G196" s="117">
        <v>310</v>
      </c>
      <c r="H196" s="118">
        <f t="shared" si="16"/>
        <v>0.35964912280701755</v>
      </c>
      <c r="I196" s="117">
        <v>300</v>
      </c>
      <c r="J196" s="118">
        <f t="shared" si="16"/>
        <v>-3.2258064516129004E-2</v>
      </c>
      <c r="K196" s="117"/>
      <c r="L196" s="118"/>
    </row>
    <row r="197" spans="2:13" ht="15.75" x14ac:dyDescent="0.25">
      <c r="B197" s="119" t="s">
        <v>32</v>
      </c>
      <c r="C197" s="120">
        <v>1836</v>
      </c>
      <c r="D197" s="121">
        <v>0.35298452468680908</v>
      </c>
      <c r="E197" s="120">
        <v>1935</v>
      </c>
      <c r="F197" s="121">
        <f t="shared" si="16"/>
        <v>5.3921568627451011E-2</v>
      </c>
      <c r="G197" s="120">
        <v>2097</v>
      </c>
      <c r="H197" s="121">
        <f t="shared" si="16"/>
        <v>8.3720930232558111E-2</v>
      </c>
      <c r="I197" s="120">
        <v>2540</v>
      </c>
      <c r="J197" s="121">
        <f t="shared" si="16"/>
        <v>0.21125417262756319</v>
      </c>
      <c r="K197" s="120">
        <v>1338</v>
      </c>
      <c r="L197" s="121">
        <v>1.9040365575019091E-2</v>
      </c>
    </row>
    <row r="198" spans="2:13" ht="6" customHeight="1" x14ac:dyDescent="0.25"/>
    <row r="199" spans="2:13" x14ac:dyDescent="0.25">
      <c r="B199" s="107" t="s">
        <v>57</v>
      </c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</row>
    <row r="200" spans="2:13" x14ac:dyDescent="0.25">
      <c r="I200" s="122"/>
    </row>
    <row r="201" spans="2:13" x14ac:dyDescent="0.25">
      <c r="C201" s="81"/>
      <c r="D201" s="81"/>
      <c r="E201" s="81"/>
      <c r="F201" s="81"/>
      <c r="G201" s="81"/>
      <c r="H201" s="81"/>
      <c r="I201" s="81"/>
      <c r="J201" s="81"/>
      <c r="K201" s="81"/>
      <c r="L201" s="81"/>
    </row>
    <row r="202" spans="2:13" ht="48.75" customHeight="1" thickBot="1" x14ac:dyDescent="0.3">
      <c r="B202" s="273" t="s">
        <v>254</v>
      </c>
      <c r="C202" s="273"/>
      <c r="D202" s="273"/>
      <c r="E202" s="273"/>
      <c r="F202" s="273"/>
      <c r="G202" s="273"/>
      <c r="H202" s="273"/>
      <c r="I202" s="273"/>
      <c r="J202" s="273"/>
      <c r="K202" s="273"/>
      <c r="L202" s="273"/>
      <c r="M202" s="1" t="s">
        <v>126</v>
      </c>
    </row>
    <row r="203" spans="2:13" ht="10.5" customHeight="1" thickBot="1" x14ac:dyDescent="0.3">
      <c r="B203" s="109"/>
      <c r="C203" s="110"/>
      <c r="D203" s="109"/>
      <c r="E203" s="109"/>
      <c r="F203" s="109"/>
      <c r="G203" s="109"/>
      <c r="H203" s="109"/>
      <c r="I203" s="109"/>
      <c r="J203" s="109"/>
      <c r="K203" s="4"/>
      <c r="L203" s="4"/>
      <c r="M203" s="1" t="s">
        <v>127</v>
      </c>
    </row>
    <row r="204" spans="2:13" ht="22.5" thickTop="1" thickBot="1" x14ac:dyDescent="0.3">
      <c r="B204" s="123" t="str">
        <f>C204</f>
        <v>Países Bajos</v>
      </c>
      <c r="C204" s="298" t="s">
        <v>128</v>
      </c>
      <c r="D204" s="299"/>
      <c r="E204" s="299"/>
      <c r="F204" s="299"/>
      <c r="G204" s="299"/>
      <c r="H204" s="299"/>
      <c r="I204" s="299"/>
      <c r="J204" s="299"/>
      <c r="K204" s="299"/>
      <c r="L204" s="299"/>
    </row>
    <row r="205" spans="2:13" ht="22.5" thickTop="1" thickBot="1" x14ac:dyDescent="0.3">
      <c r="B205" s="112"/>
      <c r="C205" s="303">
        <f>C$7</f>
        <v>2022</v>
      </c>
      <c r="D205" s="301"/>
      <c r="E205" s="303">
        <f>E$7</f>
        <v>2023</v>
      </c>
      <c r="F205" s="301"/>
      <c r="G205" s="303">
        <f>G$7</f>
        <v>2024</v>
      </c>
      <c r="H205" s="301"/>
      <c r="I205" s="303">
        <f>I$7</f>
        <v>2025</v>
      </c>
      <c r="J205" s="301"/>
      <c r="K205" s="303">
        <f>K$7</f>
        <v>2026</v>
      </c>
      <c r="L205" s="301"/>
    </row>
    <row r="206" spans="2:13" ht="16.5" thickTop="1" thickBot="1" x14ac:dyDescent="0.3">
      <c r="B206" s="87"/>
      <c r="C206" s="113" t="s">
        <v>74</v>
      </c>
      <c r="D206" s="114" t="str">
        <f>CONCATENATE("var ",RIGHT(C205,2),"/",RIGHT(C205-1,2))</f>
        <v>var 22/21</v>
      </c>
      <c r="E206" s="115" t="s">
        <v>74</v>
      </c>
      <c r="F206" s="114" t="str">
        <f>CONCATENATE("var ",RIGHT(E205,2),"/",RIGHT(E205-1,2))</f>
        <v>var 23/22</v>
      </c>
      <c r="G206" s="115" t="s">
        <v>74</v>
      </c>
      <c r="H206" s="114" t="str">
        <f>CONCATENATE("var ",RIGHT(G205,2),"/",RIGHT(G205-1,2))</f>
        <v>var 24/23</v>
      </c>
      <c r="I206" s="115" t="s">
        <v>74</v>
      </c>
      <c r="J206" s="114" t="str">
        <f>CONCATENATE("var ",RIGHT(I205,2),"/",RIGHT(I205-1,2))</f>
        <v>var 25/24</v>
      </c>
      <c r="K206" s="115" t="s">
        <v>74</v>
      </c>
      <c r="L206" s="114" t="str">
        <f>CONCATENATE("var ",RIGHT(K205,2),"/",RIGHT(K205-1,2))</f>
        <v>var 26/25</v>
      </c>
    </row>
    <row r="207" spans="2:13" x14ac:dyDescent="0.25">
      <c r="B207" s="116" t="s">
        <v>76</v>
      </c>
      <c r="C207" s="117">
        <v>270</v>
      </c>
      <c r="D207" s="118">
        <v>6.1052631578947372</v>
      </c>
      <c r="E207" s="117">
        <v>297</v>
      </c>
      <c r="F207" s="118">
        <f t="shared" ref="F207:J219" si="18">IFERROR(E207/C207-1,"-")</f>
        <v>0.10000000000000009</v>
      </c>
      <c r="G207" s="117">
        <v>273</v>
      </c>
      <c r="H207" s="118">
        <f t="shared" si="18"/>
        <v>-8.0808080808080773E-2</v>
      </c>
      <c r="I207" s="117">
        <v>376</v>
      </c>
      <c r="J207" s="118">
        <f t="shared" si="18"/>
        <v>0.37728937728937728</v>
      </c>
      <c r="K207" s="117">
        <v>385</v>
      </c>
      <c r="L207" s="118">
        <f t="shared" ref="L207:L213" si="19">IFERROR(K207/I207-1,"-")</f>
        <v>2.3936170212766061E-2</v>
      </c>
    </row>
    <row r="208" spans="2:13" x14ac:dyDescent="0.25">
      <c r="B208" s="116" t="s">
        <v>78</v>
      </c>
      <c r="C208" s="117">
        <v>270</v>
      </c>
      <c r="D208" s="118">
        <v>5.1363636363636367</v>
      </c>
      <c r="E208" s="117">
        <v>263</v>
      </c>
      <c r="F208" s="118">
        <f t="shared" si="18"/>
        <v>-2.5925925925925908E-2</v>
      </c>
      <c r="G208" s="117">
        <v>326</v>
      </c>
      <c r="H208" s="118">
        <f t="shared" si="18"/>
        <v>0.23954372623574138</v>
      </c>
      <c r="I208" s="117">
        <v>304</v>
      </c>
      <c r="J208" s="118">
        <f t="shared" si="18"/>
        <v>-6.7484662576687171E-2</v>
      </c>
      <c r="K208" s="117">
        <v>366</v>
      </c>
      <c r="L208" s="118">
        <f t="shared" si="19"/>
        <v>0.20394736842105265</v>
      </c>
    </row>
    <row r="209" spans="2:13" x14ac:dyDescent="0.25">
      <c r="B209" s="116" t="s">
        <v>80</v>
      </c>
      <c r="C209" s="117">
        <v>212</v>
      </c>
      <c r="D209" s="118">
        <v>3.6086956521739131</v>
      </c>
      <c r="E209" s="117">
        <v>247</v>
      </c>
      <c r="F209" s="118">
        <f t="shared" si="18"/>
        <v>0.16509433962264142</v>
      </c>
      <c r="G209" s="117">
        <v>210</v>
      </c>
      <c r="H209" s="118">
        <f t="shared" si="18"/>
        <v>-0.1497975708502024</v>
      </c>
      <c r="I209" s="117">
        <v>251</v>
      </c>
      <c r="J209" s="118">
        <f t="shared" si="18"/>
        <v>0.19523809523809521</v>
      </c>
      <c r="K209" s="117">
        <v>320</v>
      </c>
      <c r="L209" s="118">
        <f t="shared" si="19"/>
        <v>0.27490039840637448</v>
      </c>
    </row>
    <row r="210" spans="2:13" x14ac:dyDescent="0.25">
      <c r="B210" s="116" t="s">
        <v>82</v>
      </c>
      <c r="C210" s="117">
        <v>157</v>
      </c>
      <c r="D210" s="118">
        <v>2.204081632653061</v>
      </c>
      <c r="E210" s="117">
        <v>160</v>
      </c>
      <c r="F210" s="118">
        <f t="shared" si="18"/>
        <v>1.9108280254777066E-2</v>
      </c>
      <c r="G210" s="117">
        <v>191</v>
      </c>
      <c r="H210" s="118">
        <f t="shared" si="18"/>
        <v>0.19375000000000009</v>
      </c>
      <c r="I210" s="117">
        <v>133</v>
      </c>
      <c r="J210" s="118">
        <f t="shared" si="18"/>
        <v>-0.30366492146596857</v>
      </c>
      <c r="K210" s="117">
        <v>218</v>
      </c>
      <c r="L210" s="118">
        <f t="shared" si="19"/>
        <v>0.63909774436090228</v>
      </c>
    </row>
    <row r="211" spans="2:13" x14ac:dyDescent="0.25">
      <c r="B211" s="116" t="s">
        <v>84</v>
      </c>
      <c r="C211" s="117">
        <v>143</v>
      </c>
      <c r="D211" s="118">
        <v>1.4655172413793105</v>
      </c>
      <c r="E211" s="117">
        <v>160</v>
      </c>
      <c r="F211" s="118">
        <f t="shared" si="18"/>
        <v>0.11888111888111896</v>
      </c>
      <c r="G211" s="117">
        <v>146</v>
      </c>
      <c r="H211" s="118">
        <f t="shared" si="18"/>
        <v>-8.7500000000000022E-2</v>
      </c>
      <c r="I211" s="117">
        <v>131</v>
      </c>
      <c r="J211" s="118">
        <f t="shared" si="18"/>
        <v>-0.10273972602739723</v>
      </c>
      <c r="K211" s="117">
        <v>133</v>
      </c>
      <c r="L211" s="118">
        <f t="shared" si="19"/>
        <v>1.5267175572519109E-2</v>
      </c>
    </row>
    <row r="212" spans="2:13" x14ac:dyDescent="0.25">
      <c r="B212" s="116" t="s">
        <v>86</v>
      </c>
      <c r="C212" s="117">
        <v>125</v>
      </c>
      <c r="D212" s="118">
        <v>0.64473684210526305</v>
      </c>
      <c r="E212" s="117">
        <v>86</v>
      </c>
      <c r="F212" s="118">
        <f t="shared" si="18"/>
        <v>-0.31200000000000006</v>
      </c>
      <c r="G212" s="117">
        <v>103</v>
      </c>
      <c r="H212" s="118">
        <f t="shared" si="18"/>
        <v>0.19767441860465107</v>
      </c>
      <c r="I212" s="117">
        <v>103</v>
      </c>
      <c r="J212" s="118">
        <f t="shared" si="18"/>
        <v>0</v>
      </c>
      <c r="K212" s="117">
        <v>136</v>
      </c>
      <c r="L212" s="118">
        <f t="shared" si="19"/>
        <v>0.32038834951456319</v>
      </c>
    </row>
    <row r="213" spans="2:13" x14ac:dyDescent="0.25">
      <c r="B213" s="116" t="s">
        <v>88</v>
      </c>
      <c r="C213" s="117">
        <v>98</v>
      </c>
      <c r="D213" s="118">
        <v>-0.26315789473684215</v>
      </c>
      <c r="E213" s="117">
        <v>303</v>
      </c>
      <c r="F213" s="118">
        <f t="shared" si="18"/>
        <v>2.0918367346938775</v>
      </c>
      <c r="G213" s="117">
        <v>146</v>
      </c>
      <c r="H213" s="118">
        <f t="shared" si="18"/>
        <v>-0.51815181518151809</v>
      </c>
      <c r="I213" s="117">
        <v>207</v>
      </c>
      <c r="J213" s="118">
        <f t="shared" si="18"/>
        <v>0.41780821917808209</v>
      </c>
      <c r="K213" s="117">
        <v>193</v>
      </c>
      <c r="L213" s="118">
        <f t="shared" si="19"/>
        <v>-6.7632850241545861E-2</v>
      </c>
    </row>
    <row r="214" spans="2:13" x14ac:dyDescent="0.25">
      <c r="B214" s="116" t="s">
        <v>90</v>
      </c>
      <c r="C214" s="117">
        <v>369</v>
      </c>
      <c r="D214" s="118">
        <v>2.69</v>
      </c>
      <c r="E214" s="117">
        <v>234</v>
      </c>
      <c r="F214" s="118">
        <f t="shared" si="18"/>
        <v>-0.36585365853658536</v>
      </c>
      <c r="G214" s="117">
        <v>193</v>
      </c>
      <c r="H214" s="118">
        <f t="shared" si="18"/>
        <v>-0.17521367521367526</v>
      </c>
      <c r="I214" s="117">
        <v>202</v>
      </c>
      <c r="J214" s="118">
        <f t="shared" si="18"/>
        <v>4.663212435233155E-2</v>
      </c>
      <c r="K214" s="117"/>
      <c r="L214" s="118"/>
    </row>
    <row r="215" spans="2:13" x14ac:dyDescent="0.25">
      <c r="B215" s="116" t="s">
        <v>92</v>
      </c>
      <c r="C215" s="117">
        <v>209</v>
      </c>
      <c r="D215" s="118">
        <v>0.71311475409836067</v>
      </c>
      <c r="E215" s="117">
        <v>146</v>
      </c>
      <c r="F215" s="118">
        <f t="shared" si="18"/>
        <v>-0.30143540669856461</v>
      </c>
      <c r="G215" s="117">
        <v>101</v>
      </c>
      <c r="H215" s="118">
        <f t="shared" si="18"/>
        <v>-0.30821917808219179</v>
      </c>
      <c r="I215" s="117">
        <v>263</v>
      </c>
      <c r="J215" s="118">
        <f t="shared" si="18"/>
        <v>1.6039603960396041</v>
      </c>
      <c r="K215" s="117"/>
      <c r="L215" s="118"/>
    </row>
    <row r="216" spans="2:13" x14ac:dyDescent="0.25">
      <c r="B216" s="116" t="s">
        <v>94</v>
      </c>
      <c r="C216" s="117">
        <v>124</v>
      </c>
      <c r="D216" s="118">
        <v>-0.25748502994011979</v>
      </c>
      <c r="E216" s="117">
        <v>156</v>
      </c>
      <c r="F216" s="118">
        <f t="shared" si="18"/>
        <v>0.25806451612903225</v>
      </c>
      <c r="G216" s="117">
        <v>124</v>
      </c>
      <c r="H216" s="118">
        <f t="shared" si="18"/>
        <v>-0.20512820512820518</v>
      </c>
      <c r="I216" s="117">
        <v>186</v>
      </c>
      <c r="J216" s="118">
        <f t="shared" si="18"/>
        <v>0.5</v>
      </c>
      <c r="K216" s="117"/>
      <c r="L216" s="118"/>
    </row>
    <row r="217" spans="2:13" x14ac:dyDescent="0.25">
      <c r="B217" s="116" t="s">
        <v>96</v>
      </c>
      <c r="C217" s="117">
        <v>302</v>
      </c>
      <c r="D217" s="118">
        <v>0.24793388429752072</v>
      </c>
      <c r="E217" s="117">
        <v>294</v>
      </c>
      <c r="F217" s="118">
        <f t="shared" si="18"/>
        <v>-2.6490066225165587E-2</v>
      </c>
      <c r="G217" s="117">
        <v>296</v>
      </c>
      <c r="H217" s="118">
        <f t="shared" si="18"/>
        <v>6.8027210884353817E-3</v>
      </c>
      <c r="I217" s="117">
        <v>312</v>
      </c>
      <c r="J217" s="118">
        <f t="shared" si="18"/>
        <v>5.4054054054053946E-2</v>
      </c>
      <c r="K217" s="117"/>
      <c r="L217" s="118"/>
    </row>
    <row r="218" spans="2:13" x14ac:dyDescent="0.25">
      <c r="B218" s="116" t="s">
        <v>98</v>
      </c>
      <c r="C218" s="117">
        <v>294</v>
      </c>
      <c r="D218" s="118">
        <v>0.13953488372093026</v>
      </c>
      <c r="E218" s="117">
        <v>291</v>
      </c>
      <c r="F218" s="118">
        <f t="shared" si="18"/>
        <v>-1.0204081632653073E-2</v>
      </c>
      <c r="G218" s="117">
        <v>247</v>
      </c>
      <c r="H218" s="118">
        <f t="shared" si="18"/>
        <v>-0.15120274914089349</v>
      </c>
      <c r="I218" s="117">
        <v>298</v>
      </c>
      <c r="J218" s="118">
        <f t="shared" si="18"/>
        <v>0.20647773279352233</v>
      </c>
      <c r="K218" s="117"/>
      <c r="L218" s="118"/>
    </row>
    <row r="219" spans="2:13" ht="15.75" x14ac:dyDescent="0.25">
      <c r="B219" s="119" t="s">
        <v>32</v>
      </c>
      <c r="C219" s="120">
        <v>2573</v>
      </c>
      <c r="D219" s="121">
        <v>0.93023255813953498</v>
      </c>
      <c r="E219" s="120">
        <v>2637</v>
      </c>
      <c r="F219" s="121">
        <f t="shared" si="18"/>
        <v>2.4873688301593422E-2</v>
      </c>
      <c r="G219" s="120">
        <v>2356</v>
      </c>
      <c r="H219" s="121">
        <f t="shared" si="18"/>
        <v>-0.10656048540007579</v>
      </c>
      <c r="I219" s="120">
        <v>2766</v>
      </c>
      <c r="J219" s="121">
        <f t="shared" si="18"/>
        <v>0.17402376910016981</v>
      </c>
      <c r="K219" s="120">
        <v>1751</v>
      </c>
      <c r="L219" s="121">
        <v>0.16345514950166118</v>
      </c>
    </row>
    <row r="220" spans="2:13" ht="6" customHeight="1" x14ac:dyDescent="0.25"/>
    <row r="221" spans="2:13" x14ac:dyDescent="0.25">
      <c r="B221" s="107" t="s">
        <v>57</v>
      </c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</row>
    <row r="222" spans="2:13" x14ac:dyDescent="0.25">
      <c r="I222" s="122"/>
      <c r="K222" s="125"/>
    </row>
    <row r="224" spans="2:13" ht="48.75" customHeight="1" thickBot="1" x14ac:dyDescent="0.3">
      <c r="B224" s="273" t="s">
        <v>253</v>
      </c>
      <c r="C224" s="273"/>
      <c r="D224" s="273"/>
      <c r="E224" s="273"/>
      <c r="F224" s="273"/>
      <c r="G224" s="273"/>
      <c r="H224" s="273"/>
      <c r="I224" s="273"/>
      <c r="J224" s="273"/>
      <c r="K224" s="273"/>
      <c r="L224" s="273"/>
      <c r="M224" s="1" t="s">
        <v>129</v>
      </c>
    </row>
    <row r="225" spans="2:13" ht="10.5" customHeight="1" thickBot="1" x14ac:dyDescent="0.3">
      <c r="B225" s="109"/>
      <c r="C225" s="110"/>
      <c r="D225" s="109"/>
      <c r="E225" s="109"/>
      <c r="F225" s="109"/>
      <c r="G225" s="109"/>
      <c r="H225" s="109"/>
      <c r="I225" s="109"/>
      <c r="J225" s="109"/>
      <c r="K225" s="4"/>
      <c r="L225" s="4"/>
      <c r="M225" s="1" t="s">
        <v>130</v>
      </c>
    </row>
    <row r="226" spans="2:13" ht="22.5" thickTop="1" thickBot="1" x14ac:dyDescent="0.3">
      <c r="B226" s="123" t="str">
        <f>C226</f>
        <v>Bélgica</v>
      </c>
      <c r="C226" s="298" t="s">
        <v>124</v>
      </c>
      <c r="D226" s="299"/>
      <c r="E226" s="299"/>
      <c r="F226" s="299"/>
      <c r="G226" s="299"/>
      <c r="H226" s="299"/>
      <c r="I226" s="299"/>
      <c r="J226" s="299"/>
      <c r="K226" s="299"/>
      <c r="L226" s="299"/>
    </row>
    <row r="227" spans="2:13" ht="22.5" thickTop="1" thickBot="1" x14ac:dyDescent="0.3">
      <c r="B227" s="112"/>
      <c r="C227" s="303">
        <f>C$7</f>
        <v>2022</v>
      </c>
      <c r="D227" s="301"/>
      <c r="E227" s="303">
        <f>E$7</f>
        <v>2023</v>
      </c>
      <c r="F227" s="301"/>
      <c r="G227" s="303">
        <f>G$7</f>
        <v>2024</v>
      </c>
      <c r="H227" s="301"/>
      <c r="I227" s="303">
        <f>I$7</f>
        <v>2025</v>
      </c>
      <c r="J227" s="301"/>
      <c r="K227" s="303">
        <f>K$7</f>
        <v>2026</v>
      </c>
      <c r="L227" s="301"/>
    </row>
    <row r="228" spans="2:13" ht="16.5" thickTop="1" thickBot="1" x14ac:dyDescent="0.3">
      <c r="B228" s="87"/>
      <c r="C228" s="113" t="s">
        <v>74</v>
      </c>
      <c r="D228" s="114" t="str">
        <f>CONCATENATE("var ",RIGHT(C227,2),"/",RIGHT(C227-1,2))</f>
        <v>var 22/21</v>
      </c>
      <c r="E228" s="115" t="s">
        <v>74</v>
      </c>
      <c r="F228" s="114" t="str">
        <f>CONCATENATE("var ",RIGHT(E227,2),"/",RIGHT(E227-1,2))</f>
        <v>var 23/22</v>
      </c>
      <c r="G228" s="115" t="s">
        <v>74</v>
      </c>
      <c r="H228" s="114" t="str">
        <f>CONCATENATE("var ",RIGHT(G227,2),"/",RIGHT(G227-1,2))</f>
        <v>var 24/23</v>
      </c>
      <c r="I228" s="115" t="s">
        <v>74</v>
      </c>
      <c r="J228" s="114" t="str">
        <f>CONCATENATE("var ",RIGHT(I227,2),"/",RIGHT(I227-1,2))</f>
        <v>var 25/24</v>
      </c>
      <c r="K228" s="115" t="s">
        <v>74</v>
      </c>
      <c r="L228" s="114" t="str">
        <f>CONCATENATE("var ",RIGHT(K227,2),"/",RIGHT(K227-1,2))</f>
        <v>var 26/25</v>
      </c>
    </row>
    <row r="229" spans="2:13" x14ac:dyDescent="0.25">
      <c r="B229" s="116" t="s">
        <v>76</v>
      </c>
      <c r="C229" s="117">
        <v>170</v>
      </c>
      <c r="D229" s="118">
        <v>2.9534883720930232</v>
      </c>
      <c r="E229" s="117">
        <v>239</v>
      </c>
      <c r="F229" s="118">
        <f t="shared" ref="F229:J241" si="20">IFERROR(E229/C229-1,"-")</f>
        <v>0.40588235294117636</v>
      </c>
      <c r="G229" s="117">
        <v>283</v>
      </c>
      <c r="H229" s="118">
        <f t="shared" si="20"/>
        <v>0.18410041841004188</v>
      </c>
      <c r="I229" s="117">
        <v>323</v>
      </c>
      <c r="J229" s="118">
        <f t="shared" si="20"/>
        <v>0.14134275618374548</v>
      </c>
      <c r="K229" s="117">
        <v>270</v>
      </c>
      <c r="L229" s="118">
        <f t="shared" ref="L229:L235" si="21">IFERROR(K229/I229-1,"-")</f>
        <v>-0.16408668730650156</v>
      </c>
    </row>
    <row r="230" spans="2:13" x14ac:dyDescent="0.25">
      <c r="B230" s="116" t="s">
        <v>78</v>
      </c>
      <c r="C230" s="117">
        <v>179</v>
      </c>
      <c r="D230" s="118">
        <v>3.8378378378378377</v>
      </c>
      <c r="E230" s="117">
        <v>200</v>
      </c>
      <c r="F230" s="118">
        <f t="shared" si="20"/>
        <v>0.11731843575418988</v>
      </c>
      <c r="G230" s="117">
        <v>198</v>
      </c>
      <c r="H230" s="118">
        <f t="shared" si="20"/>
        <v>-1.0000000000000009E-2</v>
      </c>
      <c r="I230" s="117">
        <v>222</v>
      </c>
      <c r="J230" s="118">
        <f t="shared" si="20"/>
        <v>0.1212121212121211</v>
      </c>
      <c r="K230" s="117">
        <v>272</v>
      </c>
      <c r="L230" s="118">
        <f t="shared" si="21"/>
        <v>0.22522522522522515</v>
      </c>
    </row>
    <row r="231" spans="2:13" x14ac:dyDescent="0.25">
      <c r="B231" s="116" t="s">
        <v>80</v>
      </c>
      <c r="C231" s="117">
        <v>197</v>
      </c>
      <c r="D231" s="118">
        <v>5.15625</v>
      </c>
      <c r="E231" s="117">
        <v>206</v>
      </c>
      <c r="F231" s="118">
        <f t="shared" si="20"/>
        <v>4.5685279187817285E-2</v>
      </c>
      <c r="G231" s="117">
        <v>181</v>
      </c>
      <c r="H231" s="118">
        <f t="shared" si="20"/>
        <v>-0.12135922330097082</v>
      </c>
      <c r="I231" s="117">
        <v>183</v>
      </c>
      <c r="J231" s="118">
        <f t="shared" si="20"/>
        <v>1.1049723756906049E-2</v>
      </c>
      <c r="K231" s="117">
        <v>274</v>
      </c>
      <c r="L231" s="118">
        <f t="shared" si="21"/>
        <v>0.49726775956284164</v>
      </c>
    </row>
    <row r="232" spans="2:13" x14ac:dyDescent="0.25">
      <c r="B232" s="116" t="s">
        <v>82</v>
      </c>
      <c r="C232" s="117">
        <v>118</v>
      </c>
      <c r="D232" s="118">
        <v>2.806451612903226</v>
      </c>
      <c r="E232" s="117">
        <v>119</v>
      </c>
      <c r="F232" s="118">
        <f t="shared" si="20"/>
        <v>8.4745762711864181E-3</v>
      </c>
      <c r="G232" s="117">
        <v>107</v>
      </c>
      <c r="H232" s="118">
        <f t="shared" si="20"/>
        <v>-0.10084033613445376</v>
      </c>
      <c r="I232" s="117">
        <v>135</v>
      </c>
      <c r="J232" s="118">
        <f t="shared" si="20"/>
        <v>0.26168224299065423</v>
      </c>
      <c r="K232" s="117">
        <v>166</v>
      </c>
      <c r="L232" s="118">
        <f t="shared" si="21"/>
        <v>0.22962962962962963</v>
      </c>
    </row>
    <row r="233" spans="2:13" x14ac:dyDescent="0.25">
      <c r="B233" s="116" t="s">
        <v>84</v>
      </c>
      <c r="C233" s="117">
        <v>117</v>
      </c>
      <c r="D233" s="118">
        <v>0.18181818181818188</v>
      </c>
      <c r="E233" s="117">
        <v>90</v>
      </c>
      <c r="F233" s="118">
        <f t="shared" si="20"/>
        <v>-0.23076923076923073</v>
      </c>
      <c r="G233" s="117">
        <v>133</v>
      </c>
      <c r="H233" s="118">
        <f t="shared" si="20"/>
        <v>0.47777777777777786</v>
      </c>
      <c r="I233" s="117">
        <v>153</v>
      </c>
      <c r="J233" s="118">
        <f t="shared" si="20"/>
        <v>0.15037593984962405</v>
      </c>
      <c r="K233" s="117">
        <v>110</v>
      </c>
      <c r="L233" s="118">
        <f t="shared" si="21"/>
        <v>-0.28104575163398693</v>
      </c>
    </row>
    <row r="234" spans="2:13" x14ac:dyDescent="0.25">
      <c r="B234" s="116" t="s">
        <v>86</v>
      </c>
      <c r="C234" s="117">
        <v>96</v>
      </c>
      <c r="D234" s="118">
        <v>0.52380952380952372</v>
      </c>
      <c r="E234" s="117">
        <v>86</v>
      </c>
      <c r="F234" s="118">
        <f t="shared" si="20"/>
        <v>-0.10416666666666663</v>
      </c>
      <c r="G234" s="117">
        <v>117</v>
      </c>
      <c r="H234" s="118">
        <f t="shared" si="20"/>
        <v>0.36046511627906974</v>
      </c>
      <c r="I234" s="117">
        <v>111</v>
      </c>
      <c r="J234" s="118">
        <f t="shared" si="20"/>
        <v>-5.1282051282051322E-2</v>
      </c>
      <c r="K234" s="117">
        <v>80</v>
      </c>
      <c r="L234" s="118">
        <f t="shared" si="21"/>
        <v>-0.27927927927927931</v>
      </c>
    </row>
    <row r="235" spans="2:13" x14ac:dyDescent="0.25">
      <c r="B235" s="116" t="s">
        <v>88</v>
      </c>
      <c r="C235" s="117">
        <v>109</v>
      </c>
      <c r="D235" s="118">
        <v>0.31325301204819267</v>
      </c>
      <c r="E235" s="117">
        <v>136</v>
      </c>
      <c r="F235" s="118">
        <f t="shared" si="20"/>
        <v>0.24770642201834869</v>
      </c>
      <c r="G235" s="117">
        <v>123</v>
      </c>
      <c r="H235" s="118">
        <f t="shared" si="20"/>
        <v>-9.5588235294117641E-2</v>
      </c>
      <c r="I235" s="117">
        <v>186</v>
      </c>
      <c r="J235" s="118">
        <f t="shared" si="20"/>
        <v>0.51219512195121952</v>
      </c>
      <c r="K235" s="117">
        <v>166</v>
      </c>
      <c r="L235" s="118">
        <f t="shared" si="21"/>
        <v>-0.10752688172043012</v>
      </c>
    </row>
    <row r="236" spans="2:13" x14ac:dyDescent="0.25">
      <c r="B236" s="116" t="s">
        <v>90</v>
      </c>
      <c r="C236" s="117">
        <v>180</v>
      </c>
      <c r="D236" s="118">
        <v>0.74757281553398047</v>
      </c>
      <c r="E236" s="117">
        <v>119</v>
      </c>
      <c r="F236" s="118">
        <f t="shared" si="20"/>
        <v>-0.33888888888888891</v>
      </c>
      <c r="G236" s="117">
        <v>112</v>
      </c>
      <c r="H236" s="118">
        <f t="shared" si="20"/>
        <v>-5.8823529411764719E-2</v>
      </c>
      <c r="I236" s="117">
        <v>259</v>
      </c>
      <c r="J236" s="118">
        <f t="shared" si="20"/>
        <v>1.3125</v>
      </c>
      <c r="K236" s="117"/>
      <c r="L236" s="118"/>
    </row>
    <row r="237" spans="2:13" x14ac:dyDescent="0.25">
      <c r="B237" s="116" t="s">
        <v>92</v>
      </c>
      <c r="C237" s="117">
        <v>97</v>
      </c>
      <c r="D237" s="118">
        <v>0.11494252873563227</v>
      </c>
      <c r="E237" s="117">
        <v>102</v>
      </c>
      <c r="F237" s="118">
        <f t="shared" si="20"/>
        <v>5.1546391752577359E-2</v>
      </c>
      <c r="G237" s="117">
        <v>143</v>
      </c>
      <c r="H237" s="118">
        <f t="shared" si="20"/>
        <v>0.40196078431372539</v>
      </c>
      <c r="I237" s="117">
        <v>145</v>
      </c>
      <c r="J237" s="118">
        <f t="shared" si="20"/>
        <v>1.3986013986013957E-2</v>
      </c>
      <c r="K237" s="117"/>
      <c r="L237" s="118"/>
    </row>
    <row r="238" spans="2:13" x14ac:dyDescent="0.25">
      <c r="B238" s="116" t="s">
        <v>94</v>
      </c>
      <c r="C238" s="117">
        <v>110</v>
      </c>
      <c r="D238" s="118">
        <v>-0.37853107344632764</v>
      </c>
      <c r="E238" s="117">
        <v>137</v>
      </c>
      <c r="F238" s="118">
        <f t="shared" si="20"/>
        <v>0.24545454545454537</v>
      </c>
      <c r="G238" s="117">
        <v>155</v>
      </c>
      <c r="H238" s="118">
        <f t="shared" si="20"/>
        <v>0.13138686131386867</v>
      </c>
      <c r="I238" s="117">
        <v>199</v>
      </c>
      <c r="J238" s="118">
        <f t="shared" si="20"/>
        <v>0.28387096774193554</v>
      </c>
      <c r="K238" s="117"/>
      <c r="L238" s="118"/>
    </row>
    <row r="239" spans="2:13" x14ac:dyDescent="0.25">
      <c r="B239" s="116" t="s">
        <v>96</v>
      </c>
      <c r="C239" s="117">
        <v>182</v>
      </c>
      <c r="D239" s="118">
        <v>-0.54838709677419351</v>
      </c>
      <c r="E239" s="117">
        <v>273</v>
      </c>
      <c r="F239" s="118">
        <f t="shared" si="20"/>
        <v>0.5</v>
      </c>
      <c r="G239" s="117">
        <v>235</v>
      </c>
      <c r="H239" s="118">
        <f t="shared" si="20"/>
        <v>-0.13919413919413914</v>
      </c>
      <c r="I239" s="117">
        <v>324</v>
      </c>
      <c r="J239" s="118">
        <f t="shared" si="20"/>
        <v>0.37872340425531914</v>
      </c>
      <c r="K239" s="117"/>
      <c r="L239" s="118"/>
    </row>
    <row r="240" spans="2:13" x14ac:dyDescent="0.25">
      <c r="B240" s="116" t="s">
        <v>98</v>
      </c>
      <c r="C240" s="117">
        <v>281</v>
      </c>
      <c r="D240" s="118">
        <v>0.4120603015075377</v>
      </c>
      <c r="E240" s="117">
        <v>228</v>
      </c>
      <c r="F240" s="118">
        <f t="shared" si="20"/>
        <v>-0.18861209964412806</v>
      </c>
      <c r="G240" s="117">
        <v>310</v>
      </c>
      <c r="H240" s="118">
        <f t="shared" si="20"/>
        <v>0.35964912280701755</v>
      </c>
      <c r="I240" s="117">
        <v>300</v>
      </c>
      <c r="J240" s="118">
        <f t="shared" si="20"/>
        <v>-3.2258064516129004E-2</v>
      </c>
      <c r="K240" s="117"/>
      <c r="L240" s="118"/>
    </row>
    <row r="241" spans="2:13" ht="15.75" x14ac:dyDescent="0.25">
      <c r="B241" s="119" t="s">
        <v>32</v>
      </c>
      <c r="C241" s="120">
        <v>1836</v>
      </c>
      <c r="D241" s="121">
        <v>0.35298452468680908</v>
      </c>
      <c r="E241" s="120">
        <v>1935</v>
      </c>
      <c r="F241" s="121">
        <f t="shared" si="20"/>
        <v>5.3921568627451011E-2</v>
      </c>
      <c r="G241" s="120">
        <v>2097</v>
      </c>
      <c r="H241" s="121">
        <f t="shared" si="20"/>
        <v>8.3720930232558111E-2</v>
      </c>
      <c r="I241" s="120">
        <v>2540</v>
      </c>
      <c r="J241" s="121">
        <f t="shared" si="20"/>
        <v>0.21125417262756319</v>
      </c>
      <c r="K241" s="120">
        <v>1338</v>
      </c>
      <c r="L241" s="121">
        <v>1.9040365575019091E-2</v>
      </c>
    </row>
    <row r="242" spans="2:13" ht="6" customHeight="1" x14ac:dyDescent="0.25"/>
    <row r="243" spans="2:13" x14ac:dyDescent="0.25">
      <c r="B243" s="107" t="s">
        <v>57</v>
      </c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</row>
    <row r="244" spans="2:13" x14ac:dyDescent="0.25">
      <c r="C244" s="122"/>
      <c r="I244" s="122"/>
      <c r="K244" s="107"/>
    </row>
    <row r="246" spans="2:13" ht="48.75" customHeight="1" thickBot="1" x14ac:dyDescent="0.3">
      <c r="B246" s="273" t="s">
        <v>255</v>
      </c>
      <c r="C246" s="273"/>
      <c r="D246" s="273"/>
      <c r="E246" s="273"/>
      <c r="F246" s="273"/>
      <c r="G246" s="273"/>
      <c r="H246" s="273"/>
      <c r="I246" s="273"/>
      <c r="J246" s="273"/>
      <c r="K246" s="273"/>
      <c r="L246" s="273"/>
      <c r="M246" s="1" t="s">
        <v>131</v>
      </c>
    </row>
    <row r="247" spans="2:13" ht="10.5" customHeight="1" thickBot="1" x14ac:dyDescent="0.3">
      <c r="B247" s="109"/>
      <c r="C247" s="110"/>
      <c r="D247" s="109"/>
      <c r="E247" s="109"/>
      <c r="F247" s="109"/>
      <c r="G247" s="109"/>
      <c r="H247" s="109"/>
      <c r="I247" s="109"/>
      <c r="J247" s="109"/>
      <c r="K247" s="4"/>
      <c r="L247" s="4"/>
      <c r="M247" s="1" t="s">
        <v>132</v>
      </c>
    </row>
    <row r="248" spans="2:13" ht="22.5" thickTop="1" thickBot="1" x14ac:dyDescent="0.3">
      <c r="B248" s="123" t="str">
        <f>C248</f>
        <v>Dinamarca</v>
      </c>
      <c r="C248" s="298" t="s">
        <v>133</v>
      </c>
      <c r="D248" s="299"/>
      <c r="E248" s="299"/>
      <c r="F248" s="299"/>
      <c r="G248" s="299"/>
      <c r="H248" s="299"/>
      <c r="I248" s="299"/>
      <c r="J248" s="299"/>
      <c r="K248" s="299"/>
      <c r="L248" s="299"/>
    </row>
    <row r="249" spans="2:13" ht="22.5" thickTop="1" thickBot="1" x14ac:dyDescent="0.3">
      <c r="B249" s="112"/>
      <c r="C249" s="303">
        <f>C$7</f>
        <v>2022</v>
      </c>
      <c r="D249" s="301"/>
      <c r="E249" s="303">
        <f>E$7</f>
        <v>2023</v>
      </c>
      <c r="F249" s="301"/>
      <c r="G249" s="303">
        <f>G$7</f>
        <v>2024</v>
      </c>
      <c r="H249" s="301"/>
      <c r="I249" s="303">
        <f>I$7</f>
        <v>2025</v>
      </c>
      <c r="J249" s="301"/>
      <c r="K249" s="303">
        <f>K$7</f>
        <v>2026</v>
      </c>
      <c r="L249" s="301"/>
    </row>
    <row r="250" spans="2:13" ht="16.5" thickTop="1" thickBot="1" x14ac:dyDescent="0.3">
      <c r="B250" s="87"/>
      <c r="C250" s="113" t="s">
        <v>74</v>
      </c>
      <c r="D250" s="114" t="str">
        <f>CONCATENATE("var ",RIGHT(C249,2),"/",RIGHT(C249-1,2))</f>
        <v>var 22/21</v>
      </c>
      <c r="E250" s="115" t="s">
        <v>74</v>
      </c>
      <c r="F250" s="114" t="str">
        <f>CONCATENATE("var ",RIGHT(E249,2),"/",RIGHT(E249-1,2))</f>
        <v>var 23/22</v>
      </c>
      <c r="G250" s="115" t="s">
        <v>74</v>
      </c>
      <c r="H250" s="114" t="str">
        <f>CONCATENATE("var ",RIGHT(G249,2),"/",RIGHT(G249-1,2))</f>
        <v>var 24/23</v>
      </c>
      <c r="I250" s="115" t="s">
        <v>74</v>
      </c>
      <c r="J250" s="114" t="str">
        <f>CONCATENATE("var ",RIGHT(I249,2),"/",RIGHT(I249-1,2))</f>
        <v>var 25/24</v>
      </c>
      <c r="K250" s="115" t="s">
        <v>74</v>
      </c>
      <c r="L250" s="114" t="str">
        <f>CONCATENATE("var ",RIGHT(K249,2),"/",RIGHT(K249-1,2))</f>
        <v>var 26/25</v>
      </c>
    </row>
    <row r="251" spans="2:13" x14ac:dyDescent="0.25">
      <c r="B251" s="116" t="s">
        <v>76</v>
      </c>
      <c r="C251" s="117">
        <v>168</v>
      </c>
      <c r="D251" s="118">
        <v>83</v>
      </c>
      <c r="E251" s="117">
        <v>190</v>
      </c>
      <c r="F251" s="118">
        <f t="shared" ref="F251:J263" si="22">IFERROR(E251/C251-1,"-")</f>
        <v>0.13095238095238093</v>
      </c>
      <c r="G251" s="117">
        <v>268</v>
      </c>
      <c r="H251" s="118">
        <f t="shared" si="22"/>
        <v>0.41052631578947363</v>
      </c>
      <c r="I251" s="117">
        <v>203</v>
      </c>
      <c r="J251" s="118">
        <f t="shared" si="22"/>
        <v>-0.2425373134328358</v>
      </c>
      <c r="K251" s="117">
        <v>160</v>
      </c>
      <c r="L251" s="118">
        <f t="shared" ref="L251:L257" si="23">IFERROR(K251/I251-1,"-")</f>
        <v>-0.21182266009852213</v>
      </c>
    </row>
    <row r="252" spans="2:13" x14ac:dyDescent="0.25">
      <c r="B252" s="116" t="s">
        <v>78</v>
      </c>
      <c r="C252" s="117">
        <v>110</v>
      </c>
      <c r="D252" s="118">
        <v>54</v>
      </c>
      <c r="E252" s="117">
        <v>153</v>
      </c>
      <c r="F252" s="118">
        <f t="shared" si="22"/>
        <v>0.39090909090909087</v>
      </c>
      <c r="G252" s="117">
        <v>235</v>
      </c>
      <c r="H252" s="118">
        <f t="shared" si="22"/>
        <v>0.53594771241830075</v>
      </c>
      <c r="I252" s="117">
        <v>199</v>
      </c>
      <c r="J252" s="118">
        <f t="shared" si="22"/>
        <v>-0.15319148936170213</v>
      </c>
      <c r="K252" s="117">
        <v>122</v>
      </c>
      <c r="L252" s="118">
        <f t="shared" si="23"/>
        <v>-0.38693467336683418</v>
      </c>
    </row>
    <row r="253" spans="2:13" x14ac:dyDescent="0.25">
      <c r="B253" s="116" t="s">
        <v>80</v>
      </c>
      <c r="C253" s="117">
        <v>124</v>
      </c>
      <c r="D253" s="118">
        <v>30</v>
      </c>
      <c r="E253" s="117">
        <v>264</v>
      </c>
      <c r="F253" s="118">
        <f t="shared" si="22"/>
        <v>1.129032258064516</v>
      </c>
      <c r="G253" s="117">
        <v>198</v>
      </c>
      <c r="H253" s="118">
        <f t="shared" si="22"/>
        <v>-0.25</v>
      </c>
      <c r="I253" s="117">
        <v>146</v>
      </c>
      <c r="J253" s="118">
        <f t="shared" si="22"/>
        <v>-0.26262626262626265</v>
      </c>
      <c r="K253" s="117">
        <v>119</v>
      </c>
      <c r="L253" s="118">
        <f t="shared" si="23"/>
        <v>-0.18493150684931503</v>
      </c>
    </row>
    <row r="254" spans="2:13" x14ac:dyDescent="0.25">
      <c r="B254" s="116" t="s">
        <v>82</v>
      </c>
      <c r="C254" s="117">
        <v>101</v>
      </c>
      <c r="D254" s="118">
        <v>10.222222222222221</v>
      </c>
      <c r="E254" s="117">
        <v>121</v>
      </c>
      <c r="F254" s="118">
        <f t="shared" si="22"/>
        <v>0.19801980198019797</v>
      </c>
      <c r="G254" s="117">
        <v>105</v>
      </c>
      <c r="H254" s="118">
        <f t="shared" si="22"/>
        <v>-0.13223140495867769</v>
      </c>
      <c r="I254" s="117">
        <v>82</v>
      </c>
      <c r="J254" s="118">
        <f t="shared" si="22"/>
        <v>-0.21904761904761905</v>
      </c>
      <c r="K254" s="117">
        <v>78</v>
      </c>
      <c r="L254" s="118">
        <f t="shared" si="23"/>
        <v>-4.8780487804878092E-2</v>
      </c>
    </row>
    <row r="255" spans="2:13" x14ac:dyDescent="0.25">
      <c r="B255" s="116" t="s">
        <v>84</v>
      </c>
      <c r="C255" s="117">
        <v>33</v>
      </c>
      <c r="D255" s="118">
        <v>1.3571428571428572</v>
      </c>
      <c r="E255" s="117">
        <v>21</v>
      </c>
      <c r="F255" s="118">
        <f t="shared" si="22"/>
        <v>-0.36363636363636365</v>
      </c>
      <c r="G255" s="117">
        <v>13</v>
      </c>
      <c r="H255" s="118">
        <f t="shared" si="22"/>
        <v>-0.38095238095238093</v>
      </c>
      <c r="I255" s="117">
        <v>12</v>
      </c>
      <c r="J255" s="118">
        <f t="shared" si="22"/>
        <v>-7.6923076923076872E-2</v>
      </c>
      <c r="K255" s="117">
        <v>22</v>
      </c>
      <c r="L255" s="118">
        <f t="shared" si="23"/>
        <v>0.83333333333333326</v>
      </c>
    </row>
    <row r="256" spans="2:13" x14ac:dyDescent="0.25">
      <c r="B256" s="116" t="s">
        <v>86</v>
      </c>
      <c r="C256" s="117">
        <v>36</v>
      </c>
      <c r="D256" s="118">
        <v>11</v>
      </c>
      <c r="E256" s="117">
        <v>26</v>
      </c>
      <c r="F256" s="118">
        <f t="shared" si="22"/>
        <v>-0.27777777777777779</v>
      </c>
      <c r="G256" s="117">
        <v>39</v>
      </c>
      <c r="H256" s="118">
        <f t="shared" si="22"/>
        <v>0.5</v>
      </c>
      <c r="I256" s="117">
        <v>27</v>
      </c>
      <c r="J256" s="118">
        <f t="shared" si="22"/>
        <v>-0.30769230769230771</v>
      </c>
      <c r="K256" s="117">
        <v>13</v>
      </c>
      <c r="L256" s="118">
        <f t="shared" si="23"/>
        <v>-0.5185185185185186</v>
      </c>
    </row>
    <row r="257" spans="2:13" x14ac:dyDescent="0.25">
      <c r="B257" s="116" t="s">
        <v>88</v>
      </c>
      <c r="C257" s="117">
        <v>30</v>
      </c>
      <c r="D257" s="118">
        <v>0.11111111111111116</v>
      </c>
      <c r="E257" s="117">
        <v>26</v>
      </c>
      <c r="F257" s="118">
        <f t="shared" si="22"/>
        <v>-0.1333333333333333</v>
      </c>
      <c r="G257" s="117">
        <v>46</v>
      </c>
      <c r="H257" s="118">
        <f t="shared" si="22"/>
        <v>0.76923076923076916</v>
      </c>
      <c r="I257" s="117">
        <v>38</v>
      </c>
      <c r="J257" s="118">
        <f t="shared" si="22"/>
        <v>-0.17391304347826086</v>
      </c>
      <c r="K257" s="117">
        <v>13</v>
      </c>
      <c r="L257" s="118">
        <f t="shared" si="23"/>
        <v>-0.65789473684210531</v>
      </c>
    </row>
    <row r="258" spans="2:13" x14ac:dyDescent="0.25">
      <c r="B258" s="116" t="s">
        <v>90</v>
      </c>
      <c r="C258" s="117">
        <v>21</v>
      </c>
      <c r="D258" s="118">
        <v>5.0000000000000044E-2</v>
      </c>
      <c r="E258" s="117">
        <v>33</v>
      </c>
      <c r="F258" s="118">
        <f t="shared" si="22"/>
        <v>0.5714285714285714</v>
      </c>
      <c r="G258" s="117">
        <v>18</v>
      </c>
      <c r="H258" s="118">
        <f t="shared" si="22"/>
        <v>-0.45454545454545459</v>
      </c>
      <c r="I258" s="117">
        <v>22</v>
      </c>
      <c r="J258" s="118">
        <f t="shared" si="22"/>
        <v>0.22222222222222232</v>
      </c>
      <c r="K258" s="117"/>
      <c r="L258" s="118"/>
    </row>
    <row r="259" spans="2:13" x14ac:dyDescent="0.25">
      <c r="B259" s="116" t="s">
        <v>92</v>
      </c>
      <c r="C259" s="117">
        <v>32</v>
      </c>
      <c r="D259" s="118">
        <v>0.88235294117647056</v>
      </c>
      <c r="E259" s="117">
        <v>28</v>
      </c>
      <c r="F259" s="118">
        <f t="shared" si="22"/>
        <v>-0.125</v>
      </c>
      <c r="G259" s="117">
        <v>24</v>
      </c>
      <c r="H259" s="118">
        <f t="shared" si="22"/>
        <v>-0.1428571428571429</v>
      </c>
      <c r="I259" s="117">
        <v>32</v>
      </c>
      <c r="J259" s="118">
        <f t="shared" si="22"/>
        <v>0.33333333333333326</v>
      </c>
      <c r="K259" s="117"/>
      <c r="L259" s="118"/>
    </row>
    <row r="260" spans="2:13" x14ac:dyDescent="0.25">
      <c r="B260" s="116" t="s">
        <v>94</v>
      </c>
      <c r="C260" s="117">
        <v>130</v>
      </c>
      <c r="D260" s="118">
        <v>0.19266055045871555</v>
      </c>
      <c r="E260" s="117">
        <v>115</v>
      </c>
      <c r="F260" s="118">
        <f t="shared" si="22"/>
        <v>-0.11538461538461542</v>
      </c>
      <c r="G260" s="117">
        <v>112</v>
      </c>
      <c r="H260" s="118">
        <f t="shared" si="22"/>
        <v>-2.6086956521739091E-2</v>
      </c>
      <c r="I260" s="117">
        <v>53</v>
      </c>
      <c r="J260" s="118">
        <f t="shared" si="22"/>
        <v>-0.5267857142857143</v>
      </c>
      <c r="K260" s="117"/>
      <c r="L260" s="118"/>
    </row>
    <row r="261" spans="2:13" x14ac:dyDescent="0.25">
      <c r="B261" s="116" t="s">
        <v>96</v>
      </c>
      <c r="C261" s="117">
        <v>126</v>
      </c>
      <c r="D261" s="118">
        <v>-0.24550898203592819</v>
      </c>
      <c r="E261" s="117">
        <v>177</v>
      </c>
      <c r="F261" s="118">
        <f t="shared" si="22"/>
        <v>0.40476190476190466</v>
      </c>
      <c r="G261" s="117">
        <v>118</v>
      </c>
      <c r="H261" s="118">
        <f t="shared" si="22"/>
        <v>-0.33333333333333337</v>
      </c>
      <c r="I261" s="117">
        <v>170</v>
      </c>
      <c r="J261" s="118">
        <f t="shared" si="22"/>
        <v>0.44067796610169485</v>
      </c>
      <c r="K261" s="117"/>
      <c r="L261" s="118"/>
    </row>
    <row r="262" spans="2:13" x14ac:dyDescent="0.25">
      <c r="B262" s="116" t="s">
        <v>98</v>
      </c>
      <c r="C262" s="117">
        <v>164</v>
      </c>
      <c r="D262" s="118">
        <v>-9.392265193370164E-2</v>
      </c>
      <c r="E262" s="117">
        <v>188</v>
      </c>
      <c r="F262" s="118">
        <f t="shared" si="22"/>
        <v>0.14634146341463405</v>
      </c>
      <c r="G262" s="117">
        <v>158</v>
      </c>
      <c r="H262" s="118">
        <f t="shared" si="22"/>
        <v>-0.15957446808510634</v>
      </c>
      <c r="I262" s="117">
        <v>144</v>
      </c>
      <c r="J262" s="118">
        <f t="shared" si="22"/>
        <v>-8.8607594936708889E-2</v>
      </c>
      <c r="K262" s="117"/>
      <c r="L262" s="118"/>
    </row>
    <row r="263" spans="2:13" ht="15.75" x14ac:dyDescent="0.25">
      <c r="B263" s="119" t="s">
        <v>32</v>
      </c>
      <c r="C263" s="120">
        <v>1075</v>
      </c>
      <c r="D263" s="121">
        <v>0.93693693693693691</v>
      </c>
      <c r="E263" s="120">
        <v>1342</v>
      </c>
      <c r="F263" s="121">
        <f t="shared" si="22"/>
        <v>0.2483720930232558</v>
      </c>
      <c r="G263" s="120">
        <v>1334</v>
      </c>
      <c r="H263" s="121">
        <f t="shared" si="22"/>
        <v>-5.9612518628912037E-3</v>
      </c>
      <c r="I263" s="120">
        <v>1128</v>
      </c>
      <c r="J263" s="121">
        <f t="shared" si="22"/>
        <v>-0.15442278860569714</v>
      </c>
      <c r="K263" s="120">
        <v>527</v>
      </c>
      <c r="L263" s="121">
        <v>-0.25459688826025462</v>
      </c>
    </row>
    <row r="264" spans="2:13" ht="6" customHeight="1" x14ac:dyDescent="0.25"/>
    <row r="265" spans="2:13" x14ac:dyDescent="0.25">
      <c r="B265" s="107" t="s">
        <v>57</v>
      </c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</row>
    <row r="266" spans="2:13" x14ac:dyDescent="0.25">
      <c r="I266" s="122"/>
    </row>
    <row r="268" spans="2:13" ht="48.75" customHeight="1" thickBot="1" x14ac:dyDescent="0.3">
      <c r="B268" s="273" t="s">
        <v>256</v>
      </c>
      <c r="C268" s="273"/>
      <c r="D268" s="273"/>
      <c r="E268" s="273"/>
      <c r="F268" s="273"/>
      <c r="G268" s="273"/>
      <c r="H268" s="273"/>
      <c r="I268" s="273"/>
      <c r="J268" s="273"/>
      <c r="K268" s="273"/>
      <c r="L268" s="273"/>
      <c r="M268" s="1" t="s">
        <v>134</v>
      </c>
    </row>
    <row r="269" spans="2:13" ht="10.5" customHeight="1" thickBot="1" x14ac:dyDescent="0.3">
      <c r="B269" s="109"/>
      <c r="C269" s="110"/>
      <c r="D269" s="109"/>
      <c r="E269" s="109"/>
      <c r="F269" s="109"/>
      <c r="G269" s="109"/>
      <c r="H269" s="109"/>
      <c r="I269" s="109"/>
      <c r="J269" s="109"/>
      <c r="K269" s="4"/>
      <c r="L269" s="4"/>
      <c r="M269" s="1" t="s">
        <v>135</v>
      </c>
    </row>
    <row r="270" spans="2:13" ht="22.5" thickTop="1" thickBot="1" x14ac:dyDescent="0.3">
      <c r="B270" s="123" t="str">
        <f>C270</f>
        <v>Suecia</v>
      </c>
      <c r="C270" s="298" t="s">
        <v>136</v>
      </c>
      <c r="D270" s="299"/>
      <c r="E270" s="299"/>
      <c r="F270" s="299"/>
      <c r="G270" s="299"/>
      <c r="H270" s="299"/>
      <c r="I270" s="299"/>
      <c r="J270" s="299"/>
      <c r="K270" s="299"/>
      <c r="L270" s="299"/>
    </row>
    <row r="271" spans="2:13" ht="22.5" thickTop="1" thickBot="1" x14ac:dyDescent="0.3">
      <c r="B271" s="112"/>
      <c r="C271" s="303">
        <f>C$7</f>
        <v>2022</v>
      </c>
      <c r="D271" s="301"/>
      <c r="E271" s="303">
        <f>E$7</f>
        <v>2023</v>
      </c>
      <c r="F271" s="301"/>
      <c r="G271" s="303">
        <f>G$7</f>
        <v>2024</v>
      </c>
      <c r="H271" s="301"/>
      <c r="I271" s="303">
        <f>I$7</f>
        <v>2025</v>
      </c>
      <c r="J271" s="301"/>
      <c r="K271" s="303">
        <f>K$7</f>
        <v>2026</v>
      </c>
      <c r="L271" s="301"/>
    </row>
    <row r="272" spans="2:13" ht="16.5" thickTop="1" thickBot="1" x14ac:dyDescent="0.3">
      <c r="B272" s="87"/>
      <c r="C272" s="113" t="s">
        <v>74</v>
      </c>
      <c r="D272" s="114" t="str">
        <f>CONCATENATE("var ",RIGHT(C271,2),"/",RIGHT(C271-1,2))</f>
        <v>var 22/21</v>
      </c>
      <c r="E272" s="115" t="s">
        <v>74</v>
      </c>
      <c r="F272" s="114" t="str">
        <f>CONCATENATE("var ",RIGHT(E271,2),"/",RIGHT(E271-1,2))</f>
        <v>var 23/22</v>
      </c>
      <c r="G272" s="115" t="s">
        <v>74</v>
      </c>
      <c r="H272" s="114" t="str">
        <f>CONCATENATE("var ",RIGHT(G271,2),"/",RIGHT(G271-1,2))</f>
        <v>var 24/23</v>
      </c>
      <c r="I272" s="115" t="s">
        <v>74</v>
      </c>
      <c r="J272" s="114" t="str">
        <f>CONCATENATE("var ",RIGHT(I271,2),"/",RIGHT(I271-1,2))</f>
        <v>var 25/24</v>
      </c>
      <c r="K272" s="115" t="s">
        <v>74</v>
      </c>
      <c r="L272" s="114" t="str">
        <f>CONCATENATE("var ",RIGHT(K271,2),"/",RIGHT(K271-1,2))</f>
        <v>var 26/25</v>
      </c>
    </row>
    <row r="273" spans="2:12" x14ac:dyDescent="0.25">
      <c r="B273" s="116" t="s">
        <v>76</v>
      </c>
      <c r="C273" s="117">
        <v>275</v>
      </c>
      <c r="D273" s="118">
        <v>12.75</v>
      </c>
      <c r="E273" s="117">
        <v>453</v>
      </c>
      <c r="F273" s="118">
        <f t="shared" ref="F273:J285" si="24">IFERROR(E273/C273-1,"-")</f>
        <v>0.64727272727272722</v>
      </c>
      <c r="G273" s="117">
        <v>390</v>
      </c>
      <c r="H273" s="118">
        <f t="shared" si="24"/>
        <v>-0.13907284768211925</v>
      </c>
      <c r="I273" s="117">
        <v>448</v>
      </c>
      <c r="J273" s="118">
        <f t="shared" si="24"/>
        <v>0.14871794871794863</v>
      </c>
      <c r="K273" s="117">
        <v>422</v>
      </c>
      <c r="L273" s="118">
        <f t="shared" ref="L273:L279" si="25">IFERROR(K273/I273-1,"-")</f>
        <v>-5.8035714285714302E-2</v>
      </c>
    </row>
    <row r="274" spans="2:12" x14ac:dyDescent="0.25">
      <c r="B274" s="116" t="s">
        <v>78</v>
      </c>
      <c r="C274" s="117">
        <v>245</v>
      </c>
      <c r="D274" s="118">
        <v>23.5</v>
      </c>
      <c r="E274" s="117">
        <v>313</v>
      </c>
      <c r="F274" s="118">
        <f t="shared" si="24"/>
        <v>0.27755102040816326</v>
      </c>
      <c r="G274" s="117">
        <v>336</v>
      </c>
      <c r="H274" s="118">
        <f t="shared" si="24"/>
        <v>7.348242811501593E-2</v>
      </c>
      <c r="I274" s="117">
        <v>370</v>
      </c>
      <c r="J274" s="118">
        <f t="shared" si="24"/>
        <v>0.10119047619047628</v>
      </c>
      <c r="K274" s="117">
        <v>335</v>
      </c>
      <c r="L274" s="118">
        <f t="shared" si="25"/>
        <v>-9.4594594594594628E-2</v>
      </c>
    </row>
    <row r="275" spans="2:12" x14ac:dyDescent="0.25">
      <c r="B275" s="116" t="s">
        <v>80</v>
      </c>
      <c r="C275" s="117">
        <v>204</v>
      </c>
      <c r="D275" s="118">
        <v>7.5</v>
      </c>
      <c r="E275" s="117">
        <v>321</v>
      </c>
      <c r="F275" s="118">
        <f t="shared" si="24"/>
        <v>0.57352941176470584</v>
      </c>
      <c r="G275" s="117">
        <v>324</v>
      </c>
      <c r="H275" s="118">
        <f t="shared" si="24"/>
        <v>9.3457943925232545E-3</v>
      </c>
      <c r="I275" s="117">
        <v>322</v>
      </c>
      <c r="J275" s="118">
        <f t="shared" si="24"/>
        <v>-6.1728395061728669E-3</v>
      </c>
      <c r="K275" s="117">
        <v>263</v>
      </c>
      <c r="L275" s="118">
        <f t="shared" si="25"/>
        <v>-0.18322981366459623</v>
      </c>
    </row>
    <row r="276" spans="2:12" x14ac:dyDescent="0.25">
      <c r="B276" s="116" t="s">
        <v>82</v>
      </c>
      <c r="C276" s="117">
        <v>203</v>
      </c>
      <c r="D276" s="118">
        <v>4.8</v>
      </c>
      <c r="E276" s="117">
        <v>279</v>
      </c>
      <c r="F276" s="118">
        <f t="shared" si="24"/>
        <v>0.37438423645320196</v>
      </c>
      <c r="G276" s="117">
        <v>205</v>
      </c>
      <c r="H276" s="118">
        <f t="shared" si="24"/>
        <v>-0.26523297491039421</v>
      </c>
      <c r="I276" s="117">
        <v>156</v>
      </c>
      <c r="J276" s="118">
        <f t="shared" si="24"/>
        <v>-0.23902439024390243</v>
      </c>
      <c r="K276" s="117">
        <v>125</v>
      </c>
      <c r="L276" s="118">
        <f t="shared" si="25"/>
        <v>-0.19871794871794868</v>
      </c>
    </row>
    <row r="277" spans="2:12" x14ac:dyDescent="0.25">
      <c r="B277" s="116" t="s">
        <v>84</v>
      </c>
      <c r="C277" s="117">
        <v>52</v>
      </c>
      <c r="D277" s="118">
        <v>1.08</v>
      </c>
      <c r="E277" s="117">
        <v>55</v>
      </c>
      <c r="F277" s="118">
        <f t="shared" si="24"/>
        <v>5.7692307692307709E-2</v>
      </c>
      <c r="G277" s="117">
        <v>46</v>
      </c>
      <c r="H277" s="118">
        <f t="shared" si="24"/>
        <v>-0.16363636363636369</v>
      </c>
      <c r="I277" s="117">
        <v>45</v>
      </c>
      <c r="J277" s="118">
        <f t="shared" si="24"/>
        <v>-2.1739130434782594E-2</v>
      </c>
      <c r="K277" s="117">
        <v>46</v>
      </c>
      <c r="L277" s="118">
        <f t="shared" si="25"/>
        <v>2.2222222222222143E-2</v>
      </c>
    </row>
    <row r="278" spans="2:12" x14ac:dyDescent="0.25">
      <c r="B278" s="116" t="s">
        <v>86</v>
      </c>
      <c r="C278" s="117">
        <v>51</v>
      </c>
      <c r="D278" s="118">
        <v>0.88888888888888884</v>
      </c>
      <c r="E278" s="117">
        <v>33</v>
      </c>
      <c r="F278" s="118">
        <f t="shared" si="24"/>
        <v>-0.3529411764705882</v>
      </c>
      <c r="G278" s="117">
        <v>26</v>
      </c>
      <c r="H278" s="118">
        <f t="shared" si="24"/>
        <v>-0.21212121212121215</v>
      </c>
      <c r="I278" s="117">
        <v>23</v>
      </c>
      <c r="J278" s="118">
        <f t="shared" si="24"/>
        <v>-0.11538461538461542</v>
      </c>
      <c r="K278" s="117">
        <v>25</v>
      </c>
      <c r="L278" s="118">
        <f t="shared" si="25"/>
        <v>8.6956521739130377E-2</v>
      </c>
    </row>
    <row r="279" spans="2:12" x14ac:dyDescent="0.25">
      <c r="B279" s="116" t="s">
        <v>88</v>
      </c>
      <c r="C279" s="117">
        <v>26</v>
      </c>
      <c r="D279" s="118">
        <v>4.0000000000000036E-2</v>
      </c>
      <c r="E279" s="117">
        <v>39</v>
      </c>
      <c r="F279" s="118">
        <f t="shared" si="24"/>
        <v>0.5</v>
      </c>
      <c r="G279" s="117">
        <v>47</v>
      </c>
      <c r="H279" s="118">
        <f t="shared" si="24"/>
        <v>0.20512820512820507</v>
      </c>
      <c r="I279" s="117">
        <v>54</v>
      </c>
      <c r="J279" s="118">
        <f t="shared" si="24"/>
        <v>0.14893617021276606</v>
      </c>
      <c r="K279" s="117">
        <v>57</v>
      </c>
      <c r="L279" s="118">
        <f t="shared" si="25"/>
        <v>5.555555555555558E-2</v>
      </c>
    </row>
    <row r="280" spans="2:12" x14ac:dyDescent="0.25">
      <c r="B280" s="116" t="s">
        <v>90</v>
      </c>
      <c r="C280" s="117">
        <v>15</v>
      </c>
      <c r="D280" s="118">
        <v>-0.4642857142857143</v>
      </c>
      <c r="E280" s="117">
        <v>34</v>
      </c>
      <c r="F280" s="118">
        <f t="shared" si="24"/>
        <v>1.2666666666666666</v>
      </c>
      <c r="G280" s="117">
        <v>38</v>
      </c>
      <c r="H280" s="118">
        <f t="shared" si="24"/>
        <v>0.11764705882352944</v>
      </c>
      <c r="I280" s="117">
        <v>14</v>
      </c>
      <c r="J280" s="118">
        <f t="shared" si="24"/>
        <v>-0.63157894736842102</v>
      </c>
      <c r="K280" s="117"/>
      <c r="L280" s="118"/>
    </row>
    <row r="281" spans="2:12" x14ac:dyDescent="0.25">
      <c r="B281" s="116" t="s">
        <v>92</v>
      </c>
      <c r="C281" s="117">
        <v>34</v>
      </c>
      <c r="D281" s="118">
        <v>3.0303030303030276E-2</v>
      </c>
      <c r="E281" s="117">
        <v>37</v>
      </c>
      <c r="F281" s="118">
        <f t="shared" si="24"/>
        <v>8.8235294117646967E-2</v>
      </c>
      <c r="G281" s="117">
        <v>24</v>
      </c>
      <c r="H281" s="118">
        <f t="shared" si="24"/>
        <v>-0.35135135135135132</v>
      </c>
      <c r="I281" s="117">
        <v>25</v>
      </c>
      <c r="J281" s="118">
        <f t="shared" si="24"/>
        <v>4.1666666666666741E-2</v>
      </c>
      <c r="K281" s="117"/>
      <c r="L281" s="118"/>
    </row>
    <row r="282" spans="2:12" x14ac:dyDescent="0.25">
      <c r="B282" s="116" t="s">
        <v>94</v>
      </c>
      <c r="C282" s="117">
        <v>161</v>
      </c>
      <c r="D282" s="118">
        <v>0.2290076335877862</v>
      </c>
      <c r="E282" s="117">
        <v>242</v>
      </c>
      <c r="F282" s="118">
        <f t="shared" si="24"/>
        <v>0.50310559006211175</v>
      </c>
      <c r="G282" s="117">
        <v>228</v>
      </c>
      <c r="H282" s="118">
        <f t="shared" si="24"/>
        <v>-5.7851239669421517E-2</v>
      </c>
      <c r="I282" s="117">
        <v>83</v>
      </c>
      <c r="J282" s="118">
        <f t="shared" si="24"/>
        <v>-0.63596491228070173</v>
      </c>
      <c r="K282" s="117"/>
      <c r="L282" s="118"/>
    </row>
    <row r="283" spans="2:12" x14ac:dyDescent="0.25">
      <c r="B283" s="116" t="s">
        <v>96</v>
      </c>
      <c r="C283" s="117">
        <v>262</v>
      </c>
      <c r="D283" s="118">
        <v>0.10548523206751059</v>
      </c>
      <c r="E283" s="117">
        <v>292</v>
      </c>
      <c r="F283" s="118">
        <f t="shared" si="24"/>
        <v>0.11450381679389321</v>
      </c>
      <c r="G283" s="117">
        <v>371</v>
      </c>
      <c r="H283" s="118">
        <f t="shared" si="24"/>
        <v>0.27054794520547953</v>
      </c>
      <c r="I283" s="117">
        <v>452</v>
      </c>
      <c r="J283" s="118">
        <f t="shared" si="24"/>
        <v>0.21832884097035032</v>
      </c>
      <c r="K283" s="117"/>
      <c r="L283" s="118"/>
    </row>
    <row r="284" spans="2:12" x14ac:dyDescent="0.25">
      <c r="B284" s="116" t="s">
        <v>98</v>
      </c>
      <c r="C284" s="117">
        <v>357</v>
      </c>
      <c r="D284" s="118">
        <v>0.10185185185185186</v>
      </c>
      <c r="E284" s="117">
        <v>357</v>
      </c>
      <c r="F284" s="118">
        <f t="shared" si="24"/>
        <v>0</v>
      </c>
      <c r="G284" s="117">
        <v>467</v>
      </c>
      <c r="H284" s="118">
        <f t="shared" si="24"/>
        <v>0.3081232492997199</v>
      </c>
      <c r="I284" s="117">
        <v>375</v>
      </c>
      <c r="J284" s="118">
        <f t="shared" si="24"/>
        <v>-0.19700214132762317</v>
      </c>
      <c r="K284" s="117"/>
      <c r="L284" s="118"/>
    </row>
    <row r="285" spans="2:12" ht="15.75" x14ac:dyDescent="0.25">
      <c r="B285" s="119" t="s">
        <v>32</v>
      </c>
      <c r="C285" s="120">
        <v>1885</v>
      </c>
      <c r="D285" s="121">
        <v>1.0511425462459196</v>
      </c>
      <c r="E285" s="120">
        <v>2455</v>
      </c>
      <c r="F285" s="121">
        <f t="shared" si="24"/>
        <v>0.3023872679045092</v>
      </c>
      <c r="G285" s="120">
        <v>2502</v>
      </c>
      <c r="H285" s="121">
        <f t="shared" si="24"/>
        <v>1.91446028513238E-2</v>
      </c>
      <c r="I285" s="120">
        <v>2367</v>
      </c>
      <c r="J285" s="121">
        <f t="shared" si="24"/>
        <v>-5.3956834532374098E-2</v>
      </c>
      <c r="K285" s="120">
        <v>1273</v>
      </c>
      <c r="L285" s="121">
        <v>-0.10225669957686878</v>
      </c>
    </row>
    <row r="286" spans="2:12" ht="6" customHeight="1" x14ac:dyDescent="0.25"/>
    <row r="287" spans="2:12" x14ac:dyDescent="0.25">
      <c r="B287" s="107" t="s">
        <v>57</v>
      </c>
      <c r="C287" s="107"/>
      <c r="D287" s="107"/>
      <c r="E287" s="107"/>
      <c r="F287" s="107"/>
      <c r="G287" s="107"/>
      <c r="H287" s="107"/>
      <c r="I287" s="107"/>
      <c r="J287" s="107"/>
      <c r="K287" s="107"/>
      <c r="L287" s="107"/>
    </row>
    <row r="288" spans="2:12" x14ac:dyDescent="0.25">
      <c r="C288" s="122"/>
      <c r="I288" s="122"/>
      <c r="L288" s="81"/>
    </row>
    <row r="290" spans="3:11" x14ac:dyDescent="0.25">
      <c r="C290" s="81"/>
      <c r="E290" s="81"/>
      <c r="G290" s="81"/>
      <c r="I290" s="81"/>
      <c r="K290" s="81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42A7C-D22A-46E1-8653-FB24F793C85C}">
  <sheetPr>
    <tabColor theme="7" tint="0.79998168889431442"/>
  </sheetPr>
  <dimension ref="A4:R2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2" max="2" width="14.28515625" customWidth="1"/>
    <col min="17" max="17" width="13.5703125" bestFit="1" customWidth="1"/>
  </cols>
  <sheetData>
    <row r="4" spans="1:18" ht="48.75" customHeight="1" thickBot="1" x14ac:dyDescent="0.3">
      <c r="B4" s="273" t="s">
        <v>245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1" t="s">
        <v>71</v>
      </c>
    </row>
    <row r="5" spans="1:18" ht="10.5" customHeight="1" thickBot="1" x14ac:dyDescent="0.3">
      <c r="B5" s="109"/>
      <c r="C5" s="109"/>
      <c r="D5" s="109"/>
      <c r="E5" s="109"/>
      <c r="F5" s="109"/>
      <c r="G5" s="109"/>
      <c r="H5" s="109"/>
      <c r="I5" s="109"/>
      <c r="J5" s="110"/>
      <c r="K5" s="109"/>
      <c r="L5" s="109"/>
      <c r="M5" s="109"/>
      <c r="N5" s="109"/>
      <c r="O5" s="109"/>
      <c r="P5" s="4"/>
      <c r="Q5" s="4"/>
      <c r="R5" s="1" t="s">
        <v>72</v>
      </c>
    </row>
    <row r="6" spans="1:18" ht="22.5" thickTop="1" thickBot="1" x14ac:dyDescent="0.3">
      <c r="B6" s="111" t="s">
        <v>32</v>
      </c>
      <c r="C6" s="298" t="s">
        <v>137</v>
      </c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299"/>
      <c r="O6" s="299"/>
      <c r="P6" s="299"/>
      <c r="Q6" s="299"/>
    </row>
    <row r="7" spans="1:18" ht="22.5" thickTop="1" thickBot="1" x14ac:dyDescent="0.3">
      <c r="B7" s="112"/>
      <c r="C7" s="124">
        <v>2019</v>
      </c>
      <c r="D7" s="303">
        <v>2020</v>
      </c>
      <c r="E7" s="301"/>
      <c r="F7" s="303">
        <v>2021</v>
      </c>
      <c r="G7" s="301"/>
      <c r="H7" s="303">
        <v>2022</v>
      </c>
      <c r="I7" s="301"/>
      <c r="J7" s="303">
        <v>2023</v>
      </c>
      <c r="K7" s="301"/>
      <c r="L7" s="300">
        <v>2024</v>
      </c>
      <c r="M7" s="301"/>
      <c r="N7" s="300">
        <v>2025</v>
      </c>
      <c r="O7" s="302"/>
      <c r="P7" s="300">
        <v>2026</v>
      </c>
      <c r="Q7" s="302"/>
    </row>
    <row r="8" spans="1:18" ht="16.5" thickTop="1" thickBot="1" x14ac:dyDescent="0.3">
      <c r="B8" s="87"/>
      <c r="C8" s="113" t="s">
        <v>74</v>
      </c>
      <c r="D8" s="113" t="s">
        <v>74</v>
      </c>
      <c r="E8" s="114" t="s">
        <v>138</v>
      </c>
      <c r="F8" s="113" t="s">
        <v>74</v>
      </c>
      <c r="G8" s="114" t="s">
        <v>139</v>
      </c>
      <c r="H8" s="113" t="s">
        <v>74</v>
      </c>
      <c r="I8" s="114" t="s">
        <v>140</v>
      </c>
      <c r="J8" s="113" t="s">
        <v>74</v>
      </c>
      <c r="K8" s="114" t="s">
        <v>257</v>
      </c>
      <c r="L8" s="115" t="s">
        <v>74</v>
      </c>
      <c r="M8" s="114" t="s">
        <v>258</v>
      </c>
      <c r="N8" s="115" t="s">
        <v>74</v>
      </c>
      <c r="O8" s="114" t="s">
        <v>259</v>
      </c>
      <c r="P8" s="115" t="s">
        <v>74</v>
      </c>
      <c r="Q8" s="114" t="s">
        <v>141</v>
      </c>
    </row>
    <row r="9" spans="1:18" x14ac:dyDescent="0.25">
      <c r="A9" s="1" t="s">
        <v>75</v>
      </c>
      <c r="B9" s="116" t="s">
        <v>76</v>
      </c>
      <c r="C9" s="117">
        <v>20553</v>
      </c>
      <c r="D9" s="117">
        <v>20553</v>
      </c>
      <c r="E9" s="118">
        <f t="shared" ref="E9:E21" si="0">D9/C9-1</f>
        <v>0</v>
      </c>
      <c r="F9" s="117">
        <v>4767</v>
      </c>
      <c r="G9" s="118">
        <f>F9/D9-1</f>
        <v>-0.76806305648810391</v>
      </c>
      <c r="H9" s="117">
        <v>14146</v>
      </c>
      <c r="I9" s="118">
        <f>IFERROR(H9/F9-1,"-")</f>
        <v>1.9674847912733373</v>
      </c>
      <c r="J9" s="117">
        <v>23609</v>
      </c>
      <c r="K9" s="118">
        <f>IFERROR(J9/H9-1,"-")</f>
        <v>0.66895235402233855</v>
      </c>
      <c r="L9" s="117">
        <v>23403</v>
      </c>
      <c r="M9" s="118">
        <f t="shared" ref="M9:M21" si="1">IFERROR(L9/J9-1,"-")</f>
        <v>-8.7254860434580195E-3</v>
      </c>
      <c r="N9" s="117">
        <v>24602</v>
      </c>
      <c r="O9" s="118">
        <f>IFERROR(N9/L9-1,"-")</f>
        <v>5.1232747938298573E-2</v>
      </c>
      <c r="P9" s="117">
        <v>28418</v>
      </c>
      <c r="Q9" s="118">
        <f t="shared" ref="Q9:Q20" si="2">IFERROR(P9/N9-1,"-")</f>
        <v>0.15510934070400784</v>
      </c>
    </row>
    <row r="10" spans="1:18" x14ac:dyDescent="0.25">
      <c r="A10" s="1" t="s">
        <v>77</v>
      </c>
      <c r="B10" s="116" t="s">
        <v>78</v>
      </c>
      <c r="C10" s="117">
        <v>20929</v>
      </c>
      <c r="D10" s="117">
        <v>23364</v>
      </c>
      <c r="E10" s="118">
        <f t="shared" si="0"/>
        <v>0.11634574036026568</v>
      </c>
      <c r="F10" s="117">
        <v>8041</v>
      </c>
      <c r="G10" s="118">
        <f t="shared" ref="G10:G20" si="3">F10/D10-1</f>
        <v>-0.65583804143126179</v>
      </c>
      <c r="H10" s="117">
        <v>17059</v>
      </c>
      <c r="I10" s="118">
        <f t="shared" ref="G10:I21" si="4">IFERROR(H10/F10-1,"-")</f>
        <v>1.1215023007088671</v>
      </c>
      <c r="J10" s="117">
        <v>22775</v>
      </c>
      <c r="K10" s="118">
        <f t="shared" ref="K10:K21" si="5">IFERROR(J10/H10-1,"-")</f>
        <v>0.33507239580280213</v>
      </c>
      <c r="L10" s="117">
        <v>22625</v>
      </c>
      <c r="M10" s="118">
        <f t="shared" si="1"/>
        <v>-6.5861690450055299E-3</v>
      </c>
      <c r="N10" s="117">
        <v>24926</v>
      </c>
      <c r="O10" s="118">
        <f t="shared" ref="O10:O21" si="6">IFERROR(N10/L10-1,"-")</f>
        <v>0.10170165745856363</v>
      </c>
      <c r="P10" s="117">
        <v>27857</v>
      </c>
      <c r="Q10" s="118">
        <f t="shared" si="2"/>
        <v>0.1175880606595523</v>
      </c>
    </row>
    <row r="11" spans="1:18" x14ac:dyDescent="0.25">
      <c r="A11" s="1" t="s">
        <v>79</v>
      </c>
      <c r="B11" s="116" t="s">
        <v>80</v>
      </c>
      <c r="C11" s="117">
        <v>21779</v>
      </c>
      <c r="D11" s="117">
        <v>8936</v>
      </c>
      <c r="E11" s="118">
        <f t="shared" si="0"/>
        <v>-0.58969649662518941</v>
      </c>
      <c r="F11" s="117">
        <v>10312</v>
      </c>
      <c r="G11" s="118">
        <f t="shared" si="3"/>
        <v>0.15398388540734098</v>
      </c>
      <c r="H11" s="117">
        <v>20054</v>
      </c>
      <c r="I11" s="118">
        <f t="shared" si="4"/>
        <v>0.94472459270752518</v>
      </c>
      <c r="J11" s="117">
        <v>25174</v>
      </c>
      <c r="K11" s="118">
        <f t="shared" si="5"/>
        <v>0.25531066121472024</v>
      </c>
      <c r="L11" s="117">
        <v>22971</v>
      </c>
      <c r="M11" s="118">
        <f t="shared" si="1"/>
        <v>-8.7510923969174592E-2</v>
      </c>
      <c r="N11" s="117">
        <v>26883</v>
      </c>
      <c r="O11" s="118">
        <f t="shared" si="6"/>
        <v>0.17030168473292417</v>
      </c>
      <c r="P11" s="117">
        <v>27912</v>
      </c>
      <c r="Q11" s="118">
        <f t="shared" si="2"/>
        <v>3.8276978015846508E-2</v>
      </c>
    </row>
    <row r="12" spans="1:18" x14ac:dyDescent="0.25">
      <c r="A12" s="1" t="s">
        <v>81</v>
      </c>
      <c r="B12" s="116" t="s">
        <v>82</v>
      </c>
      <c r="C12" s="117">
        <v>16758</v>
      </c>
      <c r="D12" s="117">
        <v>0</v>
      </c>
      <c r="E12" s="118">
        <f t="shared" si="0"/>
        <v>-1</v>
      </c>
      <c r="F12" s="117">
        <v>9597</v>
      </c>
      <c r="G12" s="118" t="str">
        <f t="shared" si="4"/>
        <v>-</v>
      </c>
      <c r="H12" s="117">
        <v>17340</v>
      </c>
      <c r="I12" s="118">
        <f t="shared" si="4"/>
        <v>0.8068146295717411</v>
      </c>
      <c r="J12" s="117">
        <v>19154</v>
      </c>
      <c r="K12" s="118">
        <f t="shared" si="5"/>
        <v>0.10461361014994242</v>
      </c>
      <c r="L12" s="117">
        <v>19029</v>
      </c>
      <c r="M12" s="118">
        <f t="shared" si="1"/>
        <v>-6.5260519995823385E-3</v>
      </c>
      <c r="N12" s="117">
        <v>20857</v>
      </c>
      <c r="O12" s="118">
        <f t="shared" si="6"/>
        <v>9.6063902464659234E-2</v>
      </c>
      <c r="P12" s="117">
        <v>23055</v>
      </c>
      <c r="Q12" s="118">
        <f t="shared" si="2"/>
        <v>0.1053842834539962</v>
      </c>
    </row>
    <row r="13" spans="1:18" x14ac:dyDescent="0.25">
      <c r="A13" s="1" t="s">
        <v>83</v>
      </c>
      <c r="B13" s="116" t="s">
        <v>84</v>
      </c>
      <c r="C13" s="117">
        <v>17027</v>
      </c>
      <c r="D13" s="117">
        <v>0</v>
      </c>
      <c r="E13" s="118">
        <f t="shared" si="0"/>
        <v>-1</v>
      </c>
      <c r="F13" s="117">
        <v>12545</v>
      </c>
      <c r="G13" s="118" t="str">
        <f t="shared" si="4"/>
        <v>-</v>
      </c>
      <c r="H13" s="117">
        <v>18214</v>
      </c>
      <c r="I13" s="118">
        <f t="shared" si="4"/>
        <v>0.45189318453567151</v>
      </c>
      <c r="J13" s="117">
        <v>17881</v>
      </c>
      <c r="K13" s="118">
        <f t="shared" si="5"/>
        <v>-1.828263972768196E-2</v>
      </c>
      <c r="L13" s="117">
        <v>17439</v>
      </c>
      <c r="M13" s="118">
        <f t="shared" si="1"/>
        <v>-2.4718975448800418E-2</v>
      </c>
      <c r="N13" s="117">
        <v>22620</v>
      </c>
      <c r="O13" s="118">
        <f t="shared" si="6"/>
        <v>0.29709272320660585</v>
      </c>
      <c r="P13" s="117">
        <v>20399</v>
      </c>
      <c r="Q13" s="118">
        <f t="shared" si="2"/>
        <v>-9.818744473916885E-2</v>
      </c>
    </row>
    <row r="14" spans="1:18" x14ac:dyDescent="0.25">
      <c r="A14" s="1" t="s">
        <v>85</v>
      </c>
      <c r="B14" s="116" t="s">
        <v>86</v>
      </c>
      <c r="C14" s="117">
        <v>15071</v>
      </c>
      <c r="D14" s="117">
        <v>0</v>
      </c>
      <c r="E14" s="118">
        <f t="shared" si="0"/>
        <v>-1</v>
      </c>
      <c r="F14" s="117">
        <v>13541</v>
      </c>
      <c r="G14" s="118" t="str">
        <f t="shared" si="4"/>
        <v>-</v>
      </c>
      <c r="H14" s="117">
        <v>17608</v>
      </c>
      <c r="I14" s="118">
        <f t="shared" si="4"/>
        <v>0.30034709401078197</v>
      </c>
      <c r="J14" s="117">
        <v>17983</v>
      </c>
      <c r="K14" s="118">
        <f t="shared" si="5"/>
        <v>2.1297137664697763E-2</v>
      </c>
      <c r="L14" s="117">
        <v>19479</v>
      </c>
      <c r="M14" s="118">
        <f t="shared" si="1"/>
        <v>8.3189679141411288E-2</v>
      </c>
      <c r="N14" s="117">
        <v>20873</v>
      </c>
      <c r="O14" s="118">
        <f t="shared" si="6"/>
        <v>7.1564248678063658E-2</v>
      </c>
      <c r="P14" s="117">
        <v>19069</v>
      </c>
      <c r="Q14" s="118">
        <f t="shared" si="2"/>
        <v>-8.6427442150146083E-2</v>
      </c>
    </row>
    <row r="15" spans="1:18" x14ac:dyDescent="0.25">
      <c r="A15" s="1" t="s">
        <v>87</v>
      </c>
      <c r="B15" s="116" t="s">
        <v>88</v>
      </c>
      <c r="C15" s="117">
        <v>17228</v>
      </c>
      <c r="D15" s="117">
        <v>0</v>
      </c>
      <c r="E15" s="118">
        <f t="shared" si="0"/>
        <v>-1</v>
      </c>
      <c r="F15" s="117">
        <v>14398</v>
      </c>
      <c r="G15" s="118" t="str">
        <f t="shared" si="4"/>
        <v>-</v>
      </c>
      <c r="H15" s="117">
        <v>18083</v>
      </c>
      <c r="I15" s="118">
        <f t="shared" si="4"/>
        <v>0.25593832476732881</v>
      </c>
      <c r="J15" s="117">
        <v>17745</v>
      </c>
      <c r="K15" s="118">
        <f t="shared" si="5"/>
        <v>-1.8691588785046731E-2</v>
      </c>
      <c r="L15" s="117">
        <v>21632</v>
      </c>
      <c r="M15" s="118">
        <f t="shared" si="1"/>
        <v>0.21904761904761916</v>
      </c>
      <c r="N15" s="117">
        <v>23873</v>
      </c>
      <c r="O15" s="118">
        <f t="shared" si="6"/>
        <v>0.10359652366863914</v>
      </c>
      <c r="P15" s="117">
        <v>21827</v>
      </c>
      <c r="Q15" s="118">
        <f t="shared" si="2"/>
        <v>-8.570351443052826E-2</v>
      </c>
    </row>
    <row r="16" spans="1:18" x14ac:dyDescent="0.25">
      <c r="A16" s="1" t="s">
        <v>89</v>
      </c>
      <c r="B16" s="116" t="s">
        <v>90</v>
      </c>
      <c r="C16" s="117">
        <v>13793</v>
      </c>
      <c r="D16" s="117">
        <v>6776</v>
      </c>
      <c r="E16" s="118">
        <f t="shared" si="0"/>
        <v>-0.50873631552236642</v>
      </c>
      <c r="F16" s="117">
        <v>13925</v>
      </c>
      <c r="G16" s="118">
        <f t="shared" si="3"/>
        <v>1.0550472255017711</v>
      </c>
      <c r="H16" s="117">
        <v>15520</v>
      </c>
      <c r="I16" s="118">
        <f t="shared" si="4"/>
        <v>0.1145421903052064</v>
      </c>
      <c r="J16" s="117">
        <v>14993</v>
      </c>
      <c r="K16" s="118">
        <f t="shared" si="5"/>
        <v>-3.39561855670103E-2</v>
      </c>
      <c r="L16" s="117">
        <v>15201</v>
      </c>
      <c r="M16" s="118">
        <f t="shared" si="1"/>
        <v>1.3873140799039563E-2</v>
      </c>
      <c r="N16" s="117">
        <v>16969</v>
      </c>
      <c r="O16" s="118">
        <f t="shared" si="6"/>
        <v>0.11630813762252479</v>
      </c>
      <c r="P16" s="117">
        <v>0</v>
      </c>
      <c r="Q16" s="118">
        <f t="shared" si="2"/>
        <v>-1</v>
      </c>
    </row>
    <row r="17" spans="1:17" x14ac:dyDescent="0.25">
      <c r="A17" s="1" t="s">
        <v>91</v>
      </c>
      <c r="B17" s="116" t="s">
        <v>92</v>
      </c>
      <c r="C17" s="117">
        <v>15992</v>
      </c>
      <c r="D17" s="117">
        <v>7423</v>
      </c>
      <c r="E17" s="118">
        <f t="shared" si="0"/>
        <v>-0.53583041520760388</v>
      </c>
      <c r="F17" s="117">
        <v>16473</v>
      </c>
      <c r="G17" s="118">
        <f t="shared" si="3"/>
        <v>1.2191836184830929</v>
      </c>
      <c r="H17" s="117">
        <v>19959</v>
      </c>
      <c r="I17" s="118">
        <f t="shared" si="4"/>
        <v>0.21161901293024954</v>
      </c>
      <c r="J17" s="117">
        <v>15933</v>
      </c>
      <c r="K17" s="118">
        <f t="shared" si="5"/>
        <v>-0.2017135127010371</v>
      </c>
      <c r="L17" s="117">
        <v>19577</v>
      </c>
      <c r="M17" s="118">
        <f t="shared" si="1"/>
        <v>0.22870771355049269</v>
      </c>
      <c r="N17" s="117">
        <v>21810</v>
      </c>
      <c r="O17" s="118">
        <f t="shared" si="6"/>
        <v>0.11406242018695401</v>
      </c>
      <c r="P17" s="117">
        <v>0</v>
      </c>
      <c r="Q17" s="118">
        <f t="shared" si="2"/>
        <v>-1</v>
      </c>
    </row>
    <row r="18" spans="1:17" x14ac:dyDescent="0.25">
      <c r="A18" s="1" t="s">
        <v>93</v>
      </c>
      <c r="B18" s="116" t="s">
        <v>94</v>
      </c>
      <c r="C18" s="117">
        <v>18677</v>
      </c>
      <c r="D18" s="117">
        <v>9298</v>
      </c>
      <c r="E18" s="118">
        <f t="shared" si="0"/>
        <v>-0.50216844246934733</v>
      </c>
      <c r="F18" s="117">
        <v>19721</v>
      </c>
      <c r="G18" s="118">
        <f t="shared" si="3"/>
        <v>1.1209937620993764</v>
      </c>
      <c r="H18" s="117">
        <v>21932</v>
      </c>
      <c r="I18" s="118">
        <f t="shared" si="4"/>
        <v>0.11211399016277057</v>
      </c>
      <c r="J18" s="117">
        <v>20553</v>
      </c>
      <c r="K18" s="118">
        <f t="shared" si="5"/>
        <v>-6.2876162684661674E-2</v>
      </c>
      <c r="L18" s="117">
        <v>19337</v>
      </c>
      <c r="M18" s="118">
        <f t="shared" si="1"/>
        <v>-5.9164112295042037E-2</v>
      </c>
      <c r="N18" s="117">
        <v>24469</v>
      </c>
      <c r="O18" s="118">
        <f t="shared" si="6"/>
        <v>0.26539794176966436</v>
      </c>
      <c r="P18" s="117">
        <v>0</v>
      </c>
      <c r="Q18" s="118">
        <f t="shared" si="2"/>
        <v>-1</v>
      </c>
    </row>
    <row r="19" spans="1:17" x14ac:dyDescent="0.25">
      <c r="A19" s="1" t="s">
        <v>95</v>
      </c>
      <c r="B19" s="116" t="s">
        <v>96</v>
      </c>
      <c r="C19" s="117">
        <v>21685</v>
      </c>
      <c r="D19" s="117">
        <v>8104</v>
      </c>
      <c r="E19" s="118">
        <f t="shared" si="0"/>
        <v>-0.62628545077242337</v>
      </c>
      <c r="F19" s="117">
        <v>22740</v>
      </c>
      <c r="G19" s="118">
        <f t="shared" si="3"/>
        <v>1.8060217176702862</v>
      </c>
      <c r="H19" s="117">
        <v>25251</v>
      </c>
      <c r="I19" s="118">
        <f t="shared" si="4"/>
        <v>0.11042216358839041</v>
      </c>
      <c r="J19" s="117">
        <v>23667</v>
      </c>
      <c r="K19" s="118">
        <f t="shared" si="5"/>
        <v>-6.2730188903409756E-2</v>
      </c>
      <c r="L19" s="117">
        <v>25085</v>
      </c>
      <c r="M19" s="118">
        <f t="shared" si="1"/>
        <v>5.9914649089449545E-2</v>
      </c>
      <c r="N19" s="117">
        <v>28486</v>
      </c>
      <c r="O19" s="118">
        <f t="shared" si="6"/>
        <v>0.13557903129360183</v>
      </c>
      <c r="P19" s="117">
        <v>0</v>
      </c>
      <c r="Q19" s="118">
        <f t="shared" si="2"/>
        <v>-1</v>
      </c>
    </row>
    <row r="20" spans="1:17" x14ac:dyDescent="0.25">
      <c r="A20" s="1" t="s">
        <v>97</v>
      </c>
      <c r="B20" s="116" t="s">
        <v>98</v>
      </c>
      <c r="C20" s="117">
        <v>20923</v>
      </c>
      <c r="D20" s="117">
        <v>6962</v>
      </c>
      <c r="E20" s="118">
        <f t="shared" si="0"/>
        <v>-0.66725612961812364</v>
      </c>
      <c r="F20" s="117">
        <v>18198</v>
      </c>
      <c r="G20" s="118">
        <f t="shared" si="3"/>
        <v>1.6139040505601838</v>
      </c>
      <c r="H20" s="117">
        <v>23965</v>
      </c>
      <c r="I20" s="118">
        <f t="shared" si="4"/>
        <v>0.3169029563688317</v>
      </c>
      <c r="J20" s="117">
        <v>20577</v>
      </c>
      <c r="K20" s="118">
        <f t="shared" si="5"/>
        <v>-0.14137283538493639</v>
      </c>
      <c r="L20" s="117">
        <v>24629</v>
      </c>
      <c r="M20" s="118">
        <f t="shared" si="1"/>
        <v>0.19691889002284113</v>
      </c>
      <c r="N20" s="117">
        <v>26233</v>
      </c>
      <c r="O20" s="118">
        <f t="shared" si="6"/>
        <v>6.5126476917455101E-2</v>
      </c>
      <c r="P20" s="117">
        <v>0</v>
      </c>
      <c r="Q20" s="118">
        <f t="shared" si="2"/>
        <v>-1</v>
      </c>
    </row>
    <row r="21" spans="1:17" ht="15.75" x14ac:dyDescent="0.25">
      <c r="A21" s="1" t="s">
        <v>0</v>
      </c>
      <c r="B21" s="119" t="s">
        <v>32</v>
      </c>
      <c r="C21" s="120">
        <v>220415</v>
      </c>
      <c r="D21" s="120">
        <v>103516</v>
      </c>
      <c r="E21" s="121">
        <f t="shared" si="0"/>
        <v>-0.53035864165324509</v>
      </c>
      <c r="F21" s="120">
        <v>164258</v>
      </c>
      <c r="G21" s="121">
        <f>F21/D21-1</f>
        <v>0.58678851578499946</v>
      </c>
      <c r="H21" s="120">
        <v>229131</v>
      </c>
      <c r="I21" s="121">
        <f t="shared" si="4"/>
        <v>0.39494575606667559</v>
      </c>
      <c r="J21" s="120">
        <v>240044</v>
      </c>
      <c r="K21" s="121">
        <f t="shared" si="5"/>
        <v>4.7627776250267262E-2</v>
      </c>
      <c r="L21" s="120">
        <v>250407</v>
      </c>
      <c r="M21" s="121">
        <f t="shared" si="1"/>
        <v>4.3171251937144772E-2</v>
      </c>
      <c r="N21" s="120">
        <v>282601</v>
      </c>
      <c r="O21" s="121">
        <f t="shared" si="6"/>
        <v>0.12856669342310711</v>
      </c>
      <c r="P21" s="120">
        <v>168537</v>
      </c>
      <c r="Q21" s="121">
        <v>2.3707132184117574E-2</v>
      </c>
    </row>
    <row r="22" spans="1:17" ht="6" customHeight="1" x14ac:dyDescent="0.25"/>
    <row r="23" spans="1:17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7"/>
      <c r="P23" s="117"/>
      <c r="Q23" s="107"/>
    </row>
  </sheetData>
  <mergeCells count="9">
    <mergeCell ref="B4:Q4"/>
    <mergeCell ref="C6:Q6"/>
    <mergeCell ref="D7:E7"/>
    <mergeCell ref="F7:G7"/>
    <mergeCell ref="H7:I7"/>
    <mergeCell ref="J7:K7"/>
    <mergeCell ref="L7:M7"/>
    <mergeCell ref="N7:O7"/>
    <mergeCell ref="P7:Q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009DE7-22AE-41BA-AF98-B2DAEF505E63}">
  <sheetPr>
    <tabColor theme="7" tint="0.79998168889431442"/>
  </sheetPr>
  <dimension ref="A4:M9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273" t="s">
        <v>260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8" t="s">
        <v>137</v>
      </c>
      <c r="D6" s="299"/>
      <c r="E6" s="299"/>
      <c r="F6" s="299"/>
      <c r="G6" s="299"/>
      <c r="H6" s="299"/>
      <c r="I6" s="299"/>
      <c r="J6" s="299"/>
      <c r="K6" s="299"/>
      <c r="L6" s="299"/>
    </row>
    <row r="7" spans="1:13" ht="22.5" thickTop="1" thickBot="1" x14ac:dyDescent="0.3">
      <c r="B7" s="112"/>
      <c r="C7" s="304">
        <f t="shared" ref="C7" si="0">E7-1</f>
        <v>2022</v>
      </c>
      <c r="D7" s="301"/>
      <c r="E7" s="300">
        <f t="shared" ref="E7" si="1">G7-1</f>
        <v>2023</v>
      </c>
      <c r="F7" s="301"/>
      <c r="G7" s="300">
        <f t="shared" ref="G7" si="2">I7-1</f>
        <v>2024</v>
      </c>
      <c r="H7" s="301"/>
      <c r="I7" s="300">
        <f>K7-1</f>
        <v>2025</v>
      </c>
      <c r="J7" s="301"/>
      <c r="K7" s="300">
        <v>2026</v>
      </c>
      <c r="L7" s="302"/>
    </row>
    <row r="8" spans="1:13" ht="16.5" thickTop="1" thickBot="1" x14ac:dyDescent="0.3">
      <c r="B8" s="87"/>
      <c r="C8" s="113" t="s">
        <v>74</v>
      </c>
      <c r="D8" s="114" t="str">
        <f>CONCATENATE("var ",RIGHT(C7,2),"/",RIGHT(C7-1,2))</f>
        <v>var 22/21</v>
      </c>
      <c r="E8" s="115" t="s">
        <v>74</v>
      </c>
      <c r="F8" s="114" t="str">
        <f>CONCATENATE("var ",RIGHT(E7,2),"/",RIGHT(E7-1,2))</f>
        <v>var 23/22</v>
      </c>
      <c r="G8" s="115" t="s">
        <v>74</v>
      </c>
      <c r="H8" s="114" t="str">
        <f>CONCATENATE("var ",RIGHT(G7,2),"/",RIGHT(G7-1,2))</f>
        <v>var 24/23</v>
      </c>
      <c r="I8" s="115" t="s">
        <v>74</v>
      </c>
      <c r="J8" s="114" t="str">
        <f>CONCATENATE("var ",RIGHT(I7,2),"/",RIGHT(I7-1,2))</f>
        <v>var 25/24</v>
      </c>
      <c r="K8" s="115" t="s">
        <v>74</v>
      </c>
      <c r="L8" s="114" t="str">
        <f>CONCATENATE("var ",RIGHT(K7,2),"/",RIGHT(K7-1,2))</f>
        <v>var 26/25</v>
      </c>
    </row>
    <row r="9" spans="1:13" x14ac:dyDescent="0.25">
      <c r="A9" s="1" t="s">
        <v>75</v>
      </c>
      <c r="B9" s="116" t="s">
        <v>76</v>
      </c>
      <c r="C9" s="117">
        <v>14146</v>
      </c>
      <c r="D9" s="118">
        <v>1.9674847912733373</v>
      </c>
      <c r="E9" s="117">
        <v>23609</v>
      </c>
      <c r="F9" s="118">
        <f t="shared" ref="F9:J21" si="3">IFERROR(E9/C9-1,"-")</f>
        <v>0.66895235402233855</v>
      </c>
      <c r="G9" s="117">
        <v>23403</v>
      </c>
      <c r="H9" s="118">
        <f t="shared" si="3"/>
        <v>-8.7254860434580195E-3</v>
      </c>
      <c r="I9" s="117">
        <v>24602</v>
      </c>
      <c r="J9" s="118">
        <f t="shared" si="3"/>
        <v>5.1232747938298573E-2</v>
      </c>
      <c r="K9" s="117">
        <v>28418</v>
      </c>
      <c r="L9" s="118">
        <f t="shared" ref="L9:L15" si="4">IFERROR(K9/I9-1,"-")</f>
        <v>0.15510934070400784</v>
      </c>
    </row>
    <row r="10" spans="1:13" x14ac:dyDescent="0.25">
      <c r="A10" s="1" t="s">
        <v>77</v>
      </c>
      <c r="B10" s="116" t="s">
        <v>78</v>
      </c>
      <c r="C10" s="117">
        <v>17059</v>
      </c>
      <c r="D10" s="118">
        <v>1.1215023007088671</v>
      </c>
      <c r="E10" s="117">
        <v>22775</v>
      </c>
      <c r="F10" s="118">
        <f t="shared" si="3"/>
        <v>0.33507239580280213</v>
      </c>
      <c r="G10" s="117">
        <v>22625</v>
      </c>
      <c r="H10" s="118">
        <f t="shared" si="3"/>
        <v>-6.5861690450055299E-3</v>
      </c>
      <c r="I10" s="117">
        <v>24926</v>
      </c>
      <c r="J10" s="118">
        <f t="shared" si="3"/>
        <v>0.10170165745856363</v>
      </c>
      <c r="K10" s="117">
        <v>27857</v>
      </c>
      <c r="L10" s="118">
        <f t="shared" si="4"/>
        <v>0.1175880606595523</v>
      </c>
    </row>
    <row r="11" spans="1:13" x14ac:dyDescent="0.25">
      <c r="A11" s="1" t="s">
        <v>79</v>
      </c>
      <c r="B11" s="116" t="s">
        <v>80</v>
      </c>
      <c r="C11" s="117">
        <v>20054</v>
      </c>
      <c r="D11" s="118">
        <v>0.94472459270752518</v>
      </c>
      <c r="E11" s="117">
        <v>25174</v>
      </c>
      <c r="F11" s="118">
        <f t="shared" si="3"/>
        <v>0.25531066121472024</v>
      </c>
      <c r="G11" s="117">
        <v>22971</v>
      </c>
      <c r="H11" s="118">
        <f t="shared" si="3"/>
        <v>-8.7510923969174592E-2</v>
      </c>
      <c r="I11" s="117">
        <v>26883</v>
      </c>
      <c r="J11" s="118">
        <f t="shared" si="3"/>
        <v>0.17030168473292417</v>
      </c>
      <c r="K11" s="117">
        <v>27912</v>
      </c>
      <c r="L11" s="118">
        <f t="shared" si="4"/>
        <v>3.8276978015846508E-2</v>
      </c>
    </row>
    <row r="12" spans="1:13" x14ac:dyDescent="0.25">
      <c r="A12" s="1" t="s">
        <v>81</v>
      </c>
      <c r="B12" s="116" t="s">
        <v>82</v>
      </c>
      <c r="C12" s="117">
        <v>17340</v>
      </c>
      <c r="D12" s="118">
        <v>0.8068146295717411</v>
      </c>
      <c r="E12" s="117">
        <v>19154</v>
      </c>
      <c r="F12" s="118">
        <f t="shared" si="3"/>
        <v>0.10461361014994242</v>
      </c>
      <c r="G12" s="117">
        <v>19029</v>
      </c>
      <c r="H12" s="118">
        <f t="shared" si="3"/>
        <v>-6.5260519995823385E-3</v>
      </c>
      <c r="I12" s="117">
        <v>20857</v>
      </c>
      <c r="J12" s="118">
        <f t="shared" si="3"/>
        <v>9.6063902464659234E-2</v>
      </c>
      <c r="K12" s="117">
        <v>23055</v>
      </c>
      <c r="L12" s="118">
        <f t="shared" si="4"/>
        <v>0.1053842834539962</v>
      </c>
    </row>
    <row r="13" spans="1:13" x14ac:dyDescent="0.25">
      <c r="A13" s="1" t="s">
        <v>83</v>
      </c>
      <c r="B13" s="116" t="s">
        <v>84</v>
      </c>
      <c r="C13" s="117">
        <v>18214</v>
      </c>
      <c r="D13" s="118">
        <v>0.45189318453567151</v>
      </c>
      <c r="E13" s="117">
        <v>17881</v>
      </c>
      <c r="F13" s="118">
        <f t="shared" si="3"/>
        <v>-1.828263972768196E-2</v>
      </c>
      <c r="G13" s="117">
        <v>17439</v>
      </c>
      <c r="H13" s="118">
        <f t="shared" si="3"/>
        <v>-2.4718975448800418E-2</v>
      </c>
      <c r="I13" s="117">
        <v>22620</v>
      </c>
      <c r="J13" s="118">
        <f t="shared" si="3"/>
        <v>0.29709272320660585</v>
      </c>
      <c r="K13" s="117">
        <v>20399</v>
      </c>
      <c r="L13" s="118">
        <f t="shared" si="4"/>
        <v>-9.818744473916885E-2</v>
      </c>
    </row>
    <row r="14" spans="1:13" x14ac:dyDescent="0.25">
      <c r="A14" s="1" t="s">
        <v>85</v>
      </c>
      <c r="B14" s="116" t="s">
        <v>86</v>
      </c>
      <c r="C14" s="117">
        <v>17608</v>
      </c>
      <c r="D14" s="118">
        <v>0.30034709401078197</v>
      </c>
      <c r="E14" s="117">
        <v>17983</v>
      </c>
      <c r="F14" s="118">
        <f t="shared" si="3"/>
        <v>2.1297137664697763E-2</v>
      </c>
      <c r="G14" s="117">
        <v>19479</v>
      </c>
      <c r="H14" s="118">
        <f t="shared" si="3"/>
        <v>8.3189679141411288E-2</v>
      </c>
      <c r="I14" s="117">
        <v>20873</v>
      </c>
      <c r="J14" s="118">
        <f t="shared" si="3"/>
        <v>7.1564248678063658E-2</v>
      </c>
      <c r="K14" s="117">
        <v>19069</v>
      </c>
      <c r="L14" s="118">
        <f t="shared" si="4"/>
        <v>-8.6427442150146083E-2</v>
      </c>
    </row>
    <row r="15" spans="1:13" x14ac:dyDescent="0.25">
      <c r="A15" s="1" t="s">
        <v>87</v>
      </c>
      <c r="B15" s="116" t="s">
        <v>88</v>
      </c>
      <c r="C15" s="117">
        <v>18083</v>
      </c>
      <c r="D15" s="118">
        <v>0.25593832476732881</v>
      </c>
      <c r="E15" s="117">
        <v>17745</v>
      </c>
      <c r="F15" s="118">
        <f t="shared" si="3"/>
        <v>-1.8691588785046731E-2</v>
      </c>
      <c r="G15" s="117">
        <v>21632</v>
      </c>
      <c r="H15" s="118">
        <f t="shared" si="3"/>
        <v>0.21904761904761916</v>
      </c>
      <c r="I15" s="117">
        <v>23873</v>
      </c>
      <c r="J15" s="118">
        <f t="shared" si="3"/>
        <v>0.10359652366863914</v>
      </c>
      <c r="K15" s="117">
        <v>21827</v>
      </c>
      <c r="L15" s="118">
        <f t="shared" si="4"/>
        <v>-8.570351443052826E-2</v>
      </c>
    </row>
    <row r="16" spans="1:13" x14ac:dyDescent="0.25">
      <c r="A16" s="1" t="s">
        <v>89</v>
      </c>
      <c r="B16" s="116" t="s">
        <v>90</v>
      </c>
      <c r="C16" s="117">
        <v>15520</v>
      </c>
      <c r="D16" s="118">
        <v>0.1145421903052064</v>
      </c>
      <c r="E16" s="117">
        <v>14993</v>
      </c>
      <c r="F16" s="118">
        <f t="shared" si="3"/>
        <v>-3.39561855670103E-2</v>
      </c>
      <c r="G16" s="117">
        <v>15201</v>
      </c>
      <c r="H16" s="118">
        <f t="shared" si="3"/>
        <v>1.3873140799039563E-2</v>
      </c>
      <c r="I16" s="117">
        <v>16969</v>
      </c>
      <c r="J16" s="118">
        <f t="shared" si="3"/>
        <v>0.11630813762252479</v>
      </c>
      <c r="K16" s="117"/>
      <c r="L16" s="118"/>
    </row>
    <row r="17" spans="1:13" x14ac:dyDescent="0.25">
      <c r="A17" s="1" t="s">
        <v>91</v>
      </c>
      <c r="B17" s="116" t="s">
        <v>92</v>
      </c>
      <c r="C17" s="117">
        <v>19959</v>
      </c>
      <c r="D17" s="118">
        <v>0.21161901293024954</v>
      </c>
      <c r="E17" s="117">
        <v>15933</v>
      </c>
      <c r="F17" s="118">
        <f t="shared" si="3"/>
        <v>-0.2017135127010371</v>
      </c>
      <c r="G17" s="117">
        <v>19577</v>
      </c>
      <c r="H17" s="118">
        <f t="shared" si="3"/>
        <v>0.22870771355049269</v>
      </c>
      <c r="I17" s="117">
        <v>21810</v>
      </c>
      <c r="J17" s="118">
        <f t="shared" si="3"/>
        <v>0.11406242018695401</v>
      </c>
      <c r="K17" s="117"/>
      <c r="L17" s="118"/>
    </row>
    <row r="18" spans="1:13" x14ac:dyDescent="0.25">
      <c r="A18" s="1" t="s">
        <v>93</v>
      </c>
      <c r="B18" s="116" t="s">
        <v>94</v>
      </c>
      <c r="C18" s="117">
        <v>21932</v>
      </c>
      <c r="D18" s="118">
        <v>0.11211399016277057</v>
      </c>
      <c r="E18" s="117">
        <v>20553</v>
      </c>
      <c r="F18" s="118">
        <f t="shared" si="3"/>
        <v>-6.2876162684661674E-2</v>
      </c>
      <c r="G18" s="117">
        <v>19337</v>
      </c>
      <c r="H18" s="118">
        <f t="shared" si="3"/>
        <v>-5.9164112295042037E-2</v>
      </c>
      <c r="I18" s="117">
        <v>24469</v>
      </c>
      <c r="J18" s="118">
        <f t="shared" si="3"/>
        <v>0.26539794176966436</v>
      </c>
      <c r="K18" s="117"/>
      <c r="L18" s="118"/>
    </row>
    <row r="19" spans="1:13" x14ac:dyDescent="0.25">
      <c r="A19" s="1" t="s">
        <v>95</v>
      </c>
      <c r="B19" s="116" t="s">
        <v>96</v>
      </c>
      <c r="C19" s="117">
        <v>25251</v>
      </c>
      <c r="D19" s="118">
        <v>0.11042216358839041</v>
      </c>
      <c r="E19" s="117">
        <v>23667</v>
      </c>
      <c r="F19" s="118">
        <f t="shared" si="3"/>
        <v>-6.2730188903409756E-2</v>
      </c>
      <c r="G19" s="117">
        <v>25085</v>
      </c>
      <c r="H19" s="118">
        <f t="shared" si="3"/>
        <v>5.9914649089449545E-2</v>
      </c>
      <c r="I19" s="117">
        <v>28486</v>
      </c>
      <c r="J19" s="118">
        <f t="shared" si="3"/>
        <v>0.13557903129360183</v>
      </c>
      <c r="K19" s="117"/>
      <c r="L19" s="118"/>
    </row>
    <row r="20" spans="1:13" x14ac:dyDescent="0.25">
      <c r="A20" s="1" t="s">
        <v>97</v>
      </c>
      <c r="B20" s="116" t="s">
        <v>98</v>
      </c>
      <c r="C20" s="117">
        <v>23965</v>
      </c>
      <c r="D20" s="118">
        <v>0.3169029563688317</v>
      </c>
      <c r="E20" s="117">
        <v>20577</v>
      </c>
      <c r="F20" s="118">
        <f t="shared" si="3"/>
        <v>-0.14137283538493639</v>
      </c>
      <c r="G20" s="117">
        <v>24629</v>
      </c>
      <c r="H20" s="118">
        <f t="shared" si="3"/>
        <v>0.19691889002284113</v>
      </c>
      <c r="I20" s="117">
        <v>26233</v>
      </c>
      <c r="J20" s="118">
        <f t="shared" si="3"/>
        <v>6.5126476917455101E-2</v>
      </c>
      <c r="K20" s="117"/>
      <c r="L20" s="118"/>
    </row>
    <row r="21" spans="1:13" ht="15.75" x14ac:dyDescent="0.25">
      <c r="A21" s="1" t="s">
        <v>0</v>
      </c>
      <c r="B21" s="119" t="s">
        <v>32</v>
      </c>
      <c r="C21" s="120">
        <v>229131</v>
      </c>
      <c r="D21" s="121">
        <v>0.39494575606667559</v>
      </c>
      <c r="E21" s="120">
        <v>240044</v>
      </c>
      <c r="F21" s="121">
        <f t="shared" si="3"/>
        <v>4.7627776250267262E-2</v>
      </c>
      <c r="G21" s="120">
        <v>250407</v>
      </c>
      <c r="H21" s="121">
        <f t="shared" si="3"/>
        <v>4.3171251937144772E-2</v>
      </c>
      <c r="I21" s="120">
        <v>282601</v>
      </c>
      <c r="J21" s="121">
        <f t="shared" si="3"/>
        <v>0.12856669342310711</v>
      </c>
      <c r="K21" s="120">
        <v>168537</v>
      </c>
      <c r="L21" s="121">
        <v>2.3707132184117574E-2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17"/>
      <c r="L23" s="107"/>
    </row>
    <row r="24" spans="1:13" x14ac:dyDescent="0.25">
      <c r="I24" s="122"/>
      <c r="L24" s="81"/>
    </row>
    <row r="26" spans="1:13" ht="48.75" customHeight="1" thickBot="1" x14ac:dyDescent="0.3">
      <c r="B26" s="273" t="s">
        <v>261</v>
      </c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8" t="s">
        <v>142</v>
      </c>
      <c r="D28" s="299"/>
      <c r="E28" s="299"/>
      <c r="F28" s="299"/>
      <c r="G28" s="299"/>
      <c r="H28" s="299"/>
      <c r="I28" s="299"/>
      <c r="J28" s="299"/>
      <c r="K28" s="299"/>
      <c r="L28" s="299"/>
    </row>
    <row r="29" spans="1:13" ht="22.5" thickTop="1" thickBot="1" x14ac:dyDescent="0.3">
      <c r="B29" s="112"/>
      <c r="C29" s="304">
        <f t="shared" ref="C29" si="5">E29-1</f>
        <v>2022</v>
      </c>
      <c r="D29" s="301"/>
      <c r="E29" s="300">
        <f t="shared" ref="E29" si="6">G29-1</f>
        <v>2023</v>
      </c>
      <c r="F29" s="301"/>
      <c r="G29" s="300">
        <f t="shared" ref="G29" si="7">I29-1</f>
        <v>2024</v>
      </c>
      <c r="H29" s="301"/>
      <c r="I29" s="300">
        <f>K29-1</f>
        <v>2025</v>
      </c>
      <c r="J29" s="301"/>
      <c r="K29" s="300">
        <v>2026</v>
      </c>
      <c r="L29" s="302"/>
    </row>
    <row r="30" spans="1:13" ht="16.5" thickTop="1" thickBot="1" x14ac:dyDescent="0.3">
      <c r="B30" s="87"/>
      <c r="C30" s="113" t="s">
        <v>74</v>
      </c>
      <c r="D30" s="114" t="str">
        <f>CONCATENATE("var ",RIGHT(C29,2),"/",RIGHT(C29-1,2))</f>
        <v>var 22/21</v>
      </c>
      <c r="E30" s="115" t="s">
        <v>74</v>
      </c>
      <c r="F30" s="114" t="str">
        <f>CONCATENATE("var ",RIGHT(E29,2),"/",RIGHT(E29-1,2))</f>
        <v>var 23/22</v>
      </c>
      <c r="G30" s="115" t="s">
        <v>74</v>
      </c>
      <c r="H30" s="114" t="str">
        <f>CONCATENATE("var ",RIGHT(G29,2),"/",RIGHT(G29-1,2))</f>
        <v>var 24/23</v>
      </c>
      <c r="I30" s="115" t="s">
        <v>74</v>
      </c>
      <c r="J30" s="114" t="str">
        <f>CONCATENATE("var ",RIGHT(I29,2),"/",RIGHT(I29-1,2))</f>
        <v>var 25/24</v>
      </c>
      <c r="K30" s="115" t="s">
        <v>74</v>
      </c>
      <c r="L30" s="114" t="str">
        <f>CONCATENATE("var ",RIGHT(K29,2),"/",RIGHT(K29-1,2))</f>
        <v>var 26/25</v>
      </c>
    </row>
    <row r="31" spans="1:13" x14ac:dyDescent="0.25">
      <c r="B31" s="116" t="s">
        <v>76</v>
      </c>
      <c r="C31" s="117">
        <v>14146</v>
      </c>
      <c r="D31" s="118">
        <v>1.9674847912733373</v>
      </c>
      <c r="E31" s="117">
        <v>23609</v>
      </c>
      <c r="F31" s="118">
        <f t="shared" ref="F31:J43" si="8">IFERROR(E31/C31-1,"-")</f>
        <v>0.66895235402233855</v>
      </c>
      <c r="G31" s="117">
        <v>23403</v>
      </c>
      <c r="H31" s="118">
        <f t="shared" si="8"/>
        <v>-8.7254860434580195E-3</v>
      </c>
      <c r="I31" s="117">
        <v>24602</v>
      </c>
      <c r="J31" s="118">
        <f t="shared" si="8"/>
        <v>5.1232747938298573E-2</v>
      </c>
      <c r="K31" s="117">
        <v>28418</v>
      </c>
      <c r="L31" s="118">
        <f t="shared" ref="L31:L37" si="9">IFERROR(K31/I31-1,"-")</f>
        <v>0.15510934070400784</v>
      </c>
    </row>
    <row r="32" spans="1:13" x14ac:dyDescent="0.25">
      <c r="B32" s="116" t="s">
        <v>78</v>
      </c>
      <c r="C32" s="117">
        <v>17059</v>
      </c>
      <c r="D32" s="118">
        <v>1.1215023007088671</v>
      </c>
      <c r="E32" s="117">
        <v>22775</v>
      </c>
      <c r="F32" s="118">
        <f t="shared" si="8"/>
        <v>0.33507239580280213</v>
      </c>
      <c r="G32" s="117">
        <v>22625</v>
      </c>
      <c r="H32" s="118">
        <f t="shared" si="8"/>
        <v>-6.5861690450055299E-3</v>
      </c>
      <c r="I32" s="117">
        <v>24926</v>
      </c>
      <c r="J32" s="118">
        <f t="shared" si="8"/>
        <v>0.10170165745856363</v>
      </c>
      <c r="K32" s="117">
        <v>27857</v>
      </c>
      <c r="L32" s="118">
        <f t="shared" si="9"/>
        <v>0.1175880606595523</v>
      </c>
    </row>
    <row r="33" spans="2:13" x14ac:dyDescent="0.25">
      <c r="B33" s="116" t="s">
        <v>80</v>
      </c>
      <c r="C33" s="117">
        <v>20054</v>
      </c>
      <c r="D33" s="118">
        <v>0.94472459270752518</v>
      </c>
      <c r="E33" s="117">
        <v>25174</v>
      </c>
      <c r="F33" s="118">
        <f t="shared" si="8"/>
        <v>0.25531066121472024</v>
      </c>
      <c r="G33" s="117">
        <v>22971</v>
      </c>
      <c r="H33" s="118">
        <f t="shared" si="8"/>
        <v>-8.7510923969174592E-2</v>
      </c>
      <c r="I33" s="117">
        <v>26883</v>
      </c>
      <c r="J33" s="118">
        <f t="shared" si="8"/>
        <v>0.17030168473292417</v>
      </c>
      <c r="K33" s="117">
        <v>27912</v>
      </c>
      <c r="L33" s="118">
        <f t="shared" si="9"/>
        <v>3.8276978015846508E-2</v>
      </c>
    </row>
    <row r="34" spans="2:13" x14ac:dyDescent="0.25">
      <c r="B34" s="116" t="s">
        <v>82</v>
      </c>
      <c r="C34" s="117">
        <v>17340</v>
      </c>
      <c r="D34" s="118">
        <v>0.8068146295717411</v>
      </c>
      <c r="E34" s="117">
        <v>19154</v>
      </c>
      <c r="F34" s="118">
        <f t="shared" si="8"/>
        <v>0.10461361014994242</v>
      </c>
      <c r="G34" s="117">
        <v>19029</v>
      </c>
      <c r="H34" s="118">
        <f t="shared" si="8"/>
        <v>-6.5260519995823385E-3</v>
      </c>
      <c r="I34" s="117">
        <v>20857</v>
      </c>
      <c r="J34" s="118">
        <f t="shared" si="8"/>
        <v>9.6063902464659234E-2</v>
      </c>
      <c r="K34" s="117">
        <v>23055</v>
      </c>
      <c r="L34" s="118">
        <f t="shared" si="9"/>
        <v>0.1053842834539962</v>
      </c>
    </row>
    <row r="35" spans="2:13" x14ac:dyDescent="0.25">
      <c r="B35" s="116" t="s">
        <v>84</v>
      </c>
      <c r="C35" s="117">
        <v>18214</v>
      </c>
      <c r="D35" s="118">
        <v>0.45189318453567151</v>
      </c>
      <c r="E35" s="117">
        <v>17881</v>
      </c>
      <c r="F35" s="118">
        <f t="shared" si="8"/>
        <v>-1.828263972768196E-2</v>
      </c>
      <c r="G35" s="117">
        <v>17439</v>
      </c>
      <c r="H35" s="118">
        <f t="shared" si="8"/>
        <v>-2.4718975448800418E-2</v>
      </c>
      <c r="I35" s="117">
        <v>22620</v>
      </c>
      <c r="J35" s="118">
        <f t="shared" si="8"/>
        <v>0.29709272320660585</v>
      </c>
      <c r="K35" s="117">
        <v>20399</v>
      </c>
      <c r="L35" s="118">
        <f t="shared" si="9"/>
        <v>-9.818744473916885E-2</v>
      </c>
    </row>
    <row r="36" spans="2:13" x14ac:dyDescent="0.25">
      <c r="B36" s="116" t="s">
        <v>86</v>
      </c>
      <c r="C36" s="117">
        <v>17608</v>
      </c>
      <c r="D36" s="118">
        <v>0.30034709401078197</v>
      </c>
      <c r="E36" s="117">
        <v>17983</v>
      </c>
      <c r="F36" s="118">
        <f t="shared" si="8"/>
        <v>2.1297137664697763E-2</v>
      </c>
      <c r="G36" s="117">
        <v>19479</v>
      </c>
      <c r="H36" s="118">
        <f t="shared" si="8"/>
        <v>8.3189679141411288E-2</v>
      </c>
      <c r="I36" s="117">
        <v>20873</v>
      </c>
      <c r="J36" s="118">
        <f t="shared" si="8"/>
        <v>7.1564248678063658E-2</v>
      </c>
      <c r="K36" s="117">
        <v>19069</v>
      </c>
      <c r="L36" s="118">
        <f t="shared" si="9"/>
        <v>-8.6427442150146083E-2</v>
      </c>
    </row>
    <row r="37" spans="2:13" x14ac:dyDescent="0.25">
      <c r="B37" s="116" t="s">
        <v>88</v>
      </c>
      <c r="C37" s="117">
        <v>18083</v>
      </c>
      <c r="D37" s="118">
        <v>0.25593832476732881</v>
      </c>
      <c r="E37" s="117">
        <v>17745</v>
      </c>
      <c r="F37" s="118">
        <f t="shared" si="8"/>
        <v>-1.8691588785046731E-2</v>
      </c>
      <c r="G37" s="117">
        <v>21632</v>
      </c>
      <c r="H37" s="118">
        <f t="shared" si="8"/>
        <v>0.21904761904761916</v>
      </c>
      <c r="I37" s="117">
        <v>23873</v>
      </c>
      <c r="J37" s="118">
        <f t="shared" si="8"/>
        <v>0.10359652366863914</v>
      </c>
      <c r="K37" s="117">
        <v>21827</v>
      </c>
      <c r="L37" s="118">
        <f t="shared" si="9"/>
        <v>-8.570351443052826E-2</v>
      </c>
    </row>
    <row r="38" spans="2:13" x14ac:dyDescent="0.25">
      <c r="B38" s="116" t="s">
        <v>90</v>
      </c>
      <c r="C38" s="117">
        <v>15520</v>
      </c>
      <c r="D38" s="118">
        <v>0.1145421903052064</v>
      </c>
      <c r="E38" s="117">
        <v>14993</v>
      </c>
      <c r="F38" s="118">
        <f t="shared" si="8"/>
        <v>-3.39561855670103E-2</v>
      </c>
      <c r="G38" s="117">
        <v>15201</v>
      </c>
      <c r="H38" s="118">
        <f t="shared" si="8"/>
        <v>1.3873140799039563E-2</v>
      </c>
      <c r="I38" s="117">
        <v>16969</v>
      </c>
      <c r="J38" s="118">
        <f t="shared" si="8"/>
        <v>0.11630813762252479</v>
      </c>
      <c r="K38" s="117"/>
      <c r="L38" s="118"/>
    </row>
    <row r="39" spans="2:13" x14ac:dyDescent="0.25">
      <c r="B39" s="116" t="s">
        <v>92</v>
      </c>
      <c r="C39" s="117">
        <v>19959</v>
      </c>
      <c r="D39" s="118">
        <v>0.21161901293024954</v>
      </c>
      <c r="E39" s="117">
        <v>15933</v>
      </c>
      <c r="F39" s="118">
        <f t="shared" si="8"/>
        <v>-0.2017135127010371</v>
      </c>
      <c r="G39" s="117">
        <v>19577</v>
      </c>
      <c r="H39" s="118">
        <f t="shared" si="8"/>
        <v>0.22870771355049269</v>
      </c>
      <c r="I39" s="117">
        <v>21810</v>
      </c>
      <c r="J39" s="118">
        <f t="shared" si="8"/>
        <v>0.11406242018695401</v>
      </c>
      <c r="K39" s="117"/>
      <c r="L39" s="118"/>
    </row>
    <row r="40" spans="2:13" x14ac:dyDescent="0.25">
      <c r="B40" s="116" t="s">
        <v>94</v>
      </c>
      <c r="C40" s="117">
        <v>21932</v>
      </c>
      <c r="D40" s="118">
        <v>0.11211399016277057</v>
      </c>
      <c r="E40" s="117">
        <v>20553</v>
      </c>
      <c r="F40" s="118">
        <f t="shared" si="8"/>
        <v>-6.2876162684661674E-2</v>
      </c>
      <c r="G40" s="117">
        <v>19337</v>
      </c>
      <c r="H40" s="118">
        <f t="shared" si="8"/>
        <v>-5.9164112295042037E-2</v>
      </c>
      <c r="I40" s="117">
        <v>24469</v>
      </c>
      <c r="J40" s="118">
        <f t="shared" si="8"/>
        <v>0.26539794176966436</v>
      </c>
      <c r="K40" s="117"/>
      <c r="L40" s="118"/>
    </row>
    <row r="41" spans="2:13" x14ac:dyDescent="0.25">
      <c r="B41" s="116" t="s">
        <v>96</v>
      </c>
      <c r="C41" s="117">
        <v>25251</v>
      </c>
      <c r="D41" s="118">
        <v>0.11042216358839041</v>
      </c>
      <c r="E41" s="117">
        <v>23667</v>
      </c>
      <c r="F41" s="118">
        <f t="shared" si="8"/>
        <v>-6.2730188903409756E-2</v>
      </c>
      <c r="G41" s="117">
        <v>25085</v>
      </c>
      <c r="H41" s="118">
        <f t="shared" si="8"/>
        <v>5.9914649089449545E-2</v>
      </c>
      <c r="I41" s="117">
        <v>28486</v>
      </c>
      <c r="J41" s="118">
        <f t="shared" si="8"/>
        <v>0.13557903129360183</v>
      </c>
      <c r="K41" s="117"/>
      <c r="L41" s="118"/>
    </row>
    <row r="42" spans="2:13" x14ac:dyDescent="0.25">
      <c r="B42" s="116" t="s">
        <v>98</v>
      </c>
      <c r="C42" s="117">
        <v>23965</v>
      </c>
      <c r="D42" s="118">
        <v>0.3169029563688317</v>
      </c>
      <c r="E42" s="117">
        <v>20577</v>
      </c>
      <c r="F42" s="118">
        <f t="shared" si="8"/>
        <v>-0.14137283538493639</v>
      </c>
      <c r="G42" s="117">
        <v>24629</v>
      </c>
      <c r="H42" s="118">
        <f t="shared" si="8"/>
        <v>0.19691889002284113</v>
      </c>
      <c r="I42" s="117">
        <v>26233</v>
      </c>
      <c r="J42" s="118">
        <f t="shared" si="8"/>
        <v>6.5126476917455101E-2</v>
      </c>
      <c r="K42" s="117"/>
      <c r="L42" s="118"/>
    </row>
    <row r="43" spans="2:13" ht="15.75" x14ac:dyDescent="0.25">
      <c r="B43" s="119" t="s">
        <v>32</v>
      </c>
      <c r="C43" s="120">
        <v>229131</v>
      </c>
      <c r="D43" s="121">
        <v>0.39494575606667559</v>
      </c>
      <c r="E43" s="120">
        <v>240044</v>
      </c>
      <c r="F43" s="121">
        <f t="shared" si="8"/>
        <v>4.7627776250267262E-2</v>
      </c>
      <c r="G43" s="120">
        <v>250407</v>
      </c>
      <c r="H43" s="121">
        <f t="shared" si="8"/>
        <v>4.3171251937144772E-2</v>
      </c>
      <c r="I43" s="120">
        <v>282601</v>
      </c>
      <c r="J43" s="121">
        <f t="shared" si="8"/>
        <v>0.12856669342310711</v>
      </c>
      <c r="K43" s="120">
        <v>168537</v>
      </c>
      <c r="L43" s="121">
        <v>2.3707132184117574E-2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6" spans="2:13" x14ac:dyDescent="0.25">
      <c r="I46" s="81"/>
    </row>
    <row r="48" spans="2:13" ht="48.75" customHeight="1" thickBot="1" x14ac:dyDescent="0.3">
      <c r="B48" s="273" t="s">
        <v>262</v>
      </c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1" t="s">
        <v>68</v>
      </c>
      <c r="C50" s="298" t="s">
        <v>143</v>
      </c>
      <c r="D50" s="299"/>
      <c r="E50" s="299"/>
      <c r="F50" s="299"/>
      <c r="G50" s="299"/>
      <c r="H50" s="299"/>
      <c r="I50" s="299"/>
      <c r="J50" s="299"/>
      <c r="K50" s="299"/>
      <c r="L50" s="299"/>
    </row>
    <row r="51" spans="1:13" ht="22.5" thickTop="1" thickBot="1" x14ac:dyDescent="0.3">
      <c r="B51" s="112"/>
      <c r="C51" s="304">
        <f t="shared" ref="C51" si="10">E51-1</f>
        <v>2022</v>
      </c>
      <c r="D51" s="301"/>
      <c r="E51" s="300">
        <f t="shared" ref="E51" si="11">G51-1</f>
        <v>2023</v>
      </c>
      <c r="F51" s="301"/>
      <c r="G51" s="300">
        <f t="shared" ref="G51" si="12">I51-1</f>
        <v>2024</v>
      </c>
      <c r="H51" s="301"/>
      <c r="I51" s="300">
        <f>K51-1</f>
        <v>2025</v>
      </c>
      <c r="J51" s="301"/>
      <c r="K51" s="300">
        <v>2026</v>
      </c>
      <c r="L51" s="302"/>
    </row>
    <row r="52" spans="1:13" ht="16.5" thickTop="1" thickBot="1" x14ac:dyDescent="0.3">
      <c r="B52" s="87"/>
      <c r="C52" s="113" t="s">
        <v>74</v>
      </c>
      <c r="D52" s="114" t="str">
        <f>CONCATENATE("var ",RIGHT(C51,2),"/",RIGHT(C51-1,2))</f>
        <v>var 22/21</v>
      </c>
      <c r="E52" s="115" t="s">
        <v>74</v>
      </c>
      <c r="F52" s="114" t="str">
        <f>CONCATENATE("var ",RIGHT(E51,2),"/",RIGHT(E51-1,2))</f>
        <v>var 23/22</v>
      </c>
      <c r="G52" s="115" t="s">
        <v>74</v>
      </c>
      <c r="H52" s="114" t="str">
        <f>CONCATENATE("var ",RIGHT(G51,2),"/",RIGHT(G51-1,2))</f>
        <v>var 24/23</v>
      </c>
      <c r="I52" s="115" t="s">
        <v>74</v>
      </c>
      <c r="J52" s="114" t="str">
        <f>CONCATENATE("var ",RIGHT(I51,2),"/",RIGHT(I51-1,2))</f>
        <v>var 25/24</v>
      </c>
      <c r="K52" s="115" t="s">
        <v>74</v>
      </c>
      <c r="L52" s="114" t="str">
        <f>CONCATENATE("var ",RIGHT(K51,2),"/",RIGHT(K51-1,2))</f>
        <v>var 26/25</v>
      </c>
    </row>
    <row r="53" spans="1:13" x14ac:dyDescent="0.25">
      <c r="A53" s="1">
        <v>1</v>
      </c>
      <c r="B53" s="116" t="s">
        <v>76</v>
      </c>
      <c r="C53" s="117">
        <v>8448</v>
      </c>
      <c r="D53" s="118">
        <v>3.832951945080092</v>
      </c>
      <c r="E53" s="117">
        <v>14009</v>
      </c>
      <c r="F53" s="118">
        <f t="shared" ref="F53:J65" si="13">IFERROR(E53/C53-1,"-")</f>
        <v>0.65826231060606055</v>
      </c>
      <c r="G53" s="117">
        <v>13674</v>
      </c>
      <c r="H53" s="118">
        <f t="shared" si="13"/>
        <v>-2.3913198658005563E-2</v>
      </c>
      <c r="I53" s="117">
        <v>15504</v>
      </c>
      <c r="J53" s="118">
        <f t="shared" si="13"/>
        <v>0.13383062746818775</v>
      </c>
      <c r="K53" s="117">
        <v>17166</v>
      </c>
      <c r="L53" s="118">
        <f t="shared" ref="L53:L59" si="14">IFERROR(K53/I53-1,"-")</f>
        <v>0.1071981424148607</v>
      </c>
    </row>
    <row r="54" spans="1:13" x14ac:dyDescent="0.25">
      <c r="A54" s="1">
        <v>2</v>
      </c>
      <c r="B54" s="116" t="s">
        <v>78</v>
      </c>
      <c r="C54" s="117">
        <v>10670</v>
      </c>
      <c r="D54" s="118">
        <v>1.7521279339695641</v>
      </c>
      <c r="E54" s="117">
        <v>13831</v>
      </c>
      <c r="F54" s="118">
        <f t="shared" si="13"/>
        <v>0.29625117150890357</v>
      </c>
      <c r="G54" s="117">
        <v>13097</v>
      </c>
      <c r="H54" s="118">
        <f t="shared" si="13"/>
        <v>-5.3069192393897735E-2</v>
      </c>
      <c r="I54" s="117">
        <v>15698</v>
      </c>
      <c r="J54" s="118">
        <f t="shared" si="13"/>
        <v>0.19859509811407183</v>
      </c>
      <c r="K54" s="117">
        <v>16762</v>
      </c>
      <c r="L54" s="118">
        <f t="shared" si="14"/>
        <v>6.7779334947126957E-2</v>
      </c>
    </row>
    <row r="55" spans="1:13" x14ac:dyDescent="0.25">
      <c r="A55" s="1">
        <v>3</v>
      </c>
      <c r="B55" s="116" t="s">
        <v>80</v>
      </c>
      <c r="C55" s="117">
        <v>12702</v>
      </c>
      <c r="D55" s="118">
        <v>1.3583364277757148</v>
      </c>
      <c r="E55" s="117">
        <v>15155</v>
      </c>
      <c r="F55" s="118">
        <f t="shared" si="13"/>
        <v>0.19311919382774367</v>
      </c>
      <c r="G55" s="117">
        <v>13219</v>
      </c>
      <c r="H55" s="118">
        <f t="shared" si="13"/>
        <v>-0.1277466182777961</v>
      </c>
      <c r="I55" s="117">
        <v>17327</v>
      </c>
      <c r="J55" s="118">
        <f t="shared" si="13"/>
        <v>0.31076480823057717</v>
      </c>
      <c r="K55" s="117">
        <v>15554</v>
      </c>
      <c r="L55" s="118">
        <f t="shared" si="14"/>
        <v>-0.10232584982974546</v>
      </c>
    </row>
    <row r="56" spans="1:13" x14ac:dyDescent="0.25">
      <c r="A56" s="1">
        <v>4</v>
      </c>
      <c r="B56" s="116" t="s">
        <v>82</v>
      </c>
      <c r="C56" s="117">
        <v>11294</v>
      </c>
      <c r="D56" s="118">
        <v>0.79984063745019918</v>
      </c>
      <c r="E56" s="117">
        <v>11713</v>
      </c>
      <c r="F56" s="118">
        <f t="shared" si="13"/>
        <v>3.7099344784841559E-2</v>
      </c>
      <c r="G56" s="117">
        <v>11165</v>
      </c>
      <c r="H56" s="118">
        <f t="shared" si="13"/>
        <v>-4.6785622812259842E-2</v>
      </c>
      <c r="I56" s="117">
        <v>13392</v>
      </c>
      <c r="J56" s="118">
        <f t="shared" si="13"/>
        <v>0.19946260635915802</v>
      </c>
      <c r="K56" s="117">
        <v>14367</v>
      </c>
      <c r="L56" s="118">
        <f t="shared" si="14"/>
        <v>7.2804659498207913E-2</v>
      </c>
    </row>
    <row r="57" spans="1:13" x14ac:dyDescent="0.25">
      <c r="A57" s="1">
        <v>5</v>
      </c>
      <c r="B57" s="116" t="s">
        <v>84</v>
      </c>
      <c r="C57" s="117">
        <v>10870</v>
      </c>
      <c r="D57" s="118">
        <v>0.29005459292665559</v>
      </c>
      <c r="E57" s="117">
        <v>10695</v>
      </c>
      <c r="F57" s="118">
        <f t="shared" si="13"/>
        <v>-1.609935602575896E-2</v>
      </c>
      <c r="G57" s="117">
        <v>10226</v>
      </c>
      <c r="H57" s="118">
        <f t="shared" si="13"/>
        <v>-4.3852267414679735E-2</v>
      </c>
      <c r="I57" s="117">
        <v>15356</v>
      </c>
      <c r="J57" s="118">
        <f t="shared" si="13"/>
        <v>0.5016624291022882</v>
      </c>
      <c r="K57" s="117">
        <v>11665</v>
      </c>
      <c r="L57" s="118">
        <f t="shared" si="14"/>
        <v>-0.2403620734566293</v>
      </c>
    </row>
    <row r="58" spans="1:13" x14ac:dyDescent="0.25">
      <c r="A58" s="1">
        <v>6</v>
      </c>
      <c r="B58" s="116" t="s">
        <v>86</v>
      </c>
      <c r="C58" s="117">
        <v>10141</v>
      </c>
      <c r="D58" s="118">
        <v>0.1077007099945384</v>
      </c>
      <c r="E58" s="117">
        <v>10170</v>
      </c>
      <c r="F58" s="118">
        <f t="shared" si="13"/>
        <v>2.8596785326890917E-3</v>
      </c>
      <c r="G58" s="117">
        <v>11059</v>
      </c>
      <c r="H58" s="118">
        <f t="shared" si="13"/>
        <v>8.7413962635201514E-2</v>
      </c>
      <c r="I58" s="117">
        <v>14375</v>
      </c>
      <c r="J58" s="118">
        <f t="shared" si="13"/>
        <v>0.29984627904873862</v>
      </c>
      <c r="K58" s="117">
        <v>10873</v>
      </c>
      <c r="L58" s="118">
        <f t="shared" si="14"/>
        <v>-0.24361739130434779</v>
      </c>
    </row>
    <row r="59" spans="1:13" x14ac:dyDescent="0.25">
      <c r="A59" s="1">
        <v>7</v>
      </c>
      <c r="B59" s="116" t="s">
        <v>88</v>
      </c>
      <c r="C59" s="117">
        <v>10838</v>
      </c>
      <c r="D59" s="118">
        <v>8.3474957512746251E-2</v>
      </c>
      <c r="E59" s="117">
        <v>10063</v>
      </c>
      <c r="F59" s="118">
        <f t="shared" si="13"/>
        <v>-7.1507658239527538E-2</v>
      </c>
      <c r="G59" s="117">
        <v>12572</v>
      </c>
      <c r="H59" s="118">
        <f t="shared" si="13"/>
        <v>0.24932922587697504</v>
      </c>
      <c r="I59" s="117">
        <v>16611</v>
      </c>
      <c r="J59" s="118">
        <f t="shared" si="13"/>
        <v>0.32126948775055686</v>
      </c>
      <c r="K59" s="117">
        <v>12163</v>
      </c>
      <c r="L59" s="118">
        <f t="shared" si="14"/>
        <v>-0.26777436638372165</v>
      </c>
    </row>
    <row r="60" spans="1:13" x14ac:dyDescent="0.25">
      <c r="A60" s="1">
        <v>8</v>
      </c>
      <c r="B60" s="116" t="s">
        <v>90</v>
      </c>
      <c r="C60" s="117">
        <v>8772</v>
      </c>
      <c r="D60" s="118">
        <v>-5.606370386312276E-2</v>
      </c>
      <c r="E60" s="117">
        <v>9451</v>
      </c>
      <c r="F60" s="118">
        <f t="shared" si="13"/>
        <v>7.7405380756953912E-2</v>
      </c>
      <c r="G60" s="117">
        <v>9290</v>
      </c>
      <c r="H60" s="118">
        <f t="shared" si="13"/>
        <v>-1.7035234366733709E-2</v>
      </c>
      <c r="I60" s="117">
        <v>11918</v>
      </c>
      <c r="J60" s="118">
        <f t="shared" si="13"/>
        <v>0.28288482238966628</v>
      </c>
      <c r="K60" s="117"/>
      <c r="L60" s="118"/>
    </row>
    <row r="61" spans="1:13" x14ac:dyDescent="0.25">
      <c r="A61" s="1">
        <v>9</v>
      </c>
      <c r="B61" s="116" t="s">
        <v>92</v>
      </c>
      <c r="C61" s="117">
        <v>11314</v>
      </c>
      <c r="D61" s="118">
        <v>7.5066514633219228E-2</v>
      </c>
      <c r="E61" s="117">
        <v>9475</v>
      </c>
      <c r="F61" s="118">
        <f t="shared" si="13"/>
        <v>-0.16254198338341874</v>
      </c>
      <c r="G61" s="117">
        <v>12468</v>
      </c>
      <c r="H61" s="118">
        <f t="shared" si="13"/>
        <v>0.31588390501319252</v>
      </c>
      <c r="I61" s="117">
        <v>15013</v>
      </c>
      <c r="J61" s="118">
        <f t="shared" si="13"/>
        <v>0.20412255373756816</v>
      </c>
      <c r="K61" s="117"/>
      <c r="L61" s="118"/>
    </row>
    <row r="62" spans="1:13" x14ac:dyDescent="0.25">
      <c r="A62" s="1">
        <v>10</v>
      </c>
      <c r="B62" s="116" t="s">
        <v>94</v>
      </c>
      <c r="C62" s="117">
        <v>12410</v>
      </c>
      <c r="D62" s="118">
        <v>-1.5626239390814645E-2</v>
      </c>
      <c r="E62" s="117">
        <v>12972</v>
      </c>
      <c r="F62" s="118">
        <f t="shared" si="13"/>
        <v>4.5286059629331188E-2</v>
      </c>
      <c r="G62" s="117">
        <v>12954</v>
      </c>
      <c r="H62" s="118">
        <f t="shared" si="13"/>
        <v>-1.3876040703052483E-3</v>
      </c>
      <c r="I62" s="117">
        <v>16315</v>
      </c>
      <c r="J62" s="118">
        <f t="shared" si="13"/>
        <v>0.25945653852092021</v>
      </c>
      <c r="K62" s="117"/>
      <c r="L62" s="118"/>
    </row>
    <row r="63" spans="1:13" x14ac:dyDescent="0.25">
      <c r="A63" s="1">
        <v>11</v>
      </c>
      <c r="B63" s="116" t="s">
        <v>96</v>
      </c>
      <c r="C63" s="117">
        <v>14671</v>
      </c>
      <c r="D63" s="118">
        <v>8.8014852506359542E-3</v>
      </c>
      <c r="E63" s="117">
        <v>15154</v>
      </c>
      <c r="F63" s="118">
        <f t="shared" si="13"/>
        <v>3.2922091200327186E-2</v>
      </c>
      <c r="G63" s="117">
        <v>16047</v>
      </c>
      <c r="H63" s="118">
        <f t="shared" si="13"/>
        <v>5.8928335752936434E-2</v>
      </c>
      <c r="I63" s="117">
        <v>18883</v>
      </c>
      <c r="J63" s="118">
        <f t="shared" si="13"/>
        <v>0.17673085311896308</v>
      </c>
      <c r="K63" s="117"/>
      <c r="L63" s="118"/>
    </row>
    <row r="64" spans="1:13" x14ac:dyDescent="0.25">
      <c r="A64" s="1">
        <v>12</v>
      </c>
      <c r="B64" s="116" t="s">
        <v>98</v>
      </c>
      <c r="C64" s="117">
        <v>13567</v>
      </c>
      <c r="D64" s="118">
        <v>0.22148194832087875</v>
      </c>
      <c r="E64" s="117">
        <v>12991</v>
      </c>
      <c r="F64" s="118">
        <f t="shared" si="13"/>
        <v>-4.2455959313039027E-2</v>
      </c>
      <c r="G64" s="117">
        <v>15417</v>
      </c>
      <c r="H64" s="118">
        <f t="shared" si="13"/>
        <v>0.18674466938649825</v>
      </c>
      <c r="I64" s="117">
        <v>16208</v>
      </c>
      <c r="J64" s="118">
        <f t="shared" si="13"/>
        <v>5.1306998767594258E-2</v>
      </c>
      <c r="K64" s="117"/>
      <c r="L64" s="118"/>
    </row>
    <row r="65" spans="1:13" ht="15.75" x14ac:dyDescent="0.25">
      <c r="B65" s="119" t="s">
        <v>32</v>
      </c>
      <c r="C65" s="120">
        <v>135697</v>
      </c>
      <c r="D65" s="121">
        <v>0.31816327323593407</v>
      </c>
      <c r="E65" s="120">
        <v>145679</v>
      </c>
      <c r="F65" s="121">
        <f t="shared" si="13"/>
        <v>7.3560948289203232E-2</v>
      </c>
      <c r="G65" s="120">
        <v>151188</v>
      </c>
      <c r="H65" s="121">
        <f t="shared" si="13"/>
        <v>3.7816020153899954E-2</v>
      </c>
      <c r="I65" s="120">
        <v>186600</v>
      </c>
      <c r="J65" s="121">
        <f t="shared" si="13"/>
        <v>0.23422493848718151</v>
      </c>
      <c r="K65" s="120">
        <v>110536</v>
      </c>
      <c r="L65" s="121">
        <v>2.0995169171369676E-2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70" spans="1:13" ht="48.75" customHeight="1" thickBot="1" x14ac:dyDescent="0.3">
      <c r="B70" s="273" t="s">
        <v>263</v>
      </c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1" t="s">
        <v>69</v>
      </c>
      <c r="C72" s="298" t="s">
        <v>144</v>
      </c>
      <c r="D72" s="299"/>
      <c r="E72" s="299"/>
      <c r="F72" s="299"/>
      <c r="G72" s="299"/>
      <c r="H72" s="299"/>
      <c r="I72" s="299"/>
      <c r="J72" s="299"/>
      <c r="K72" s="299"/>
      <c r="L72" s="299"/>
    </row>
    <row r="73" spans="1:13" ht="22.5" thickTop="1" thickBot="1" x14ac:dyDescent="0.3">
      <c r="B73" s="112"/>
      <c r="C73" s="304">
        <f t="shared" ref="C73" si="15">E73-1</f>
        <v>2022</v>
      </c>
      <c r="D73" s="301"/>
      <c r="E73" s="300">
        <f t="shared" ref="E73" si="16">G73-1</f>
        <v>2023</v>
      </c>
      <c r="F73" s="301"/>
      <c r="G73" s="300">
        <f t="shared" ref="G73" si="17">I73-1</f>
        <v>2024</v>
      </c>
      <c r="H73" s="301"/>
      <c r="I73" s="300">
        <f>K73-1</f>
        <v>2025</v>
      </c>
      <c r="J73" s="301"/>
      <c r="K73" s="300">
        <v>2026</v>
      </c>
      <c r="L73" s="302"/>
    </row>
    <row r="74" spans="1:13" ht="16.5" thickTop="1" thickBot="1" x14ac:dyDescent="0.3">
      <c r="B74" s="87"/>
      <c r="C74" s="113" t="s">
        <v>74</v>
      </c>
      <c r="D74" s="114" t="str">
        <f>CONCATENATE("var ",RIGHT(C73,2),"/",RIGHT(C73-1,2))</f>
        <v>var 22/21</v>
      </c>
      <c r="E74" s="115" t="s">
        <v>74</v>
      </c>
      <c r="F74" s="114" t="str">
        <f>CONCATENATE("var ",RIGHT(E73,2),"/",RIGHT(E73-1,2))</f>
        <v>var 23/22</v>
      </c>
      <c r="G74" s="115" t="s">
        <v>74</v>
      </c>
      <c r="H74" s="114" t="str">
        <f>CONCATENATE("var ",RIGHT(G73,2),"/",RIGHT(G73-1,2))</f>
        <v>var 24/23</v>
      </c>
      <c r="I74" s="115" t="s">
        <v>74</v>
      </c>
      <c r="J74" s="114" t="str">
        <f>CONCATENATE("var ",RIGHT(I73,2),"/",RIGHT(I73-1,2))</f>
        <v>var 25/24</v>
      </c>
      <c r="K74" s="115" t="s">
        <v>74</v>
      </c>
      <c r="L74" s="114" t="str">
        <f>CONCATENATE("var ",RIGHT(K73,2),"/",RIGHT(K73-1,2))</f>
        <v>var 26/25</v>
      </c>
    </row>
    <row r="75" spans="1:13" x14ac:dyDescent="0.25">
      <c r="A75" s="1">
        <v>1</v>
      </c>
      <c r="B75" s="116" t="s">
        <v>76</v>
      </c>
      <c r="C75" s="117">
        <v>5698</v>
      </c>
      <c r="D75" s="118">
        <v>0.88737992712818814</v>
      </c>
      <c r="E75" s="117">
        <v>9600</v>
      </c>
      <c r="F75" s="118">
        <f t="shared" ref="F75:J87" si="18">IFERROR(E75/C75-1,"-")</f>
        <v>0.68480168480168491</v>
      </c>
      <c r="G75" s="117">
        <v>9729</v>
      </c>
      <c r="H75" s="118">
        <f t="shared" si="18"/>
        <v>1.3437499999999991E-2</v>
      </c>
      <c r="I75" s="117">
        <v>9098</v>
      </c>
      <c r="J75" s="118">
        <f t="shared" si="18"/>
        <v>-6.4857642100935364E-2</v>
      </c>
      <c r="K75" s="117">
        <v>11252</v>
      </c>
      <c r="L75" s="118">
        <f t="shared" ref="L75:L81" si="19">IFERROR(K75/I75-1,"-")</f>
        <v>0.23675533084194322</v>
      </c>
    </row>
    <row r="76" spans="1:13" x14ac:dyDescent="0.25">
      <c r="A76" s="1">
        <v>2</v>
      </c>
      <c r="B76" s="116" t="s">
        <v>78</v>
      </c>
      <c r="C76" s="117">
        <v>6389</v>
      </c>
      <c r="D76" s="118">
        <v>0.5343419788664745</v>
      </c>
      <c r="E76" s="117">
        <v>8944</v>
      </c>
      <c r="F76" s="118">
        <f t="shared" si="18"/>
        <v>0.39990608858976362</v>
      </c>
      <c r="G76" s="117">
        <v>9528</v>
      </c>
      <c r="H76" s="118">
        <f t="shared" si="18"/>
        <v>6.5295169946332665E-2</v>
      </c>
      <c r="I76" s="117">
        <v>9228</v>
      </c>
      <c r="J76" s="118">
        <f t="shared" si="18"/>
        <v>-3.1486146095717871E-2</v>
      </c>
      <c r="K76" s="117">
        <v>10063</v>
      </c>
      <c r="L76" s="118">
        <f t="shared" si="19"/>
        <v>9.0485478977026412E-2</v>
      </c>
    </row>
    <row r="77" spans="1:13" x14ac:dyDescent="0.25">
      <c r="A77" s="1">
        <v>3</v>
      </c>
      <c r="B77" s="116" t="s">
        <v>80</v>
      </c>
      <c r="C77" s="117">
        <v>7352</v>
      </c>
      <c r="D77" s="118">
        <v>0.49248883475436456</v>
      </c>
      <c r="E77" s="117">
        <v>10019</v>
      </c>
      <c r="F77" s="118">
        <f t="shared" si="18"/>
        <v>0.36275843307943423</v>
      </c>
      <c r="G77" s="117">
        <v>9752</v>
      </c>
      <c r="H77" s="118">
        <f t="shared" si="18"/>
        <v>-2.6649366204211988E-2</v>
      </c>
      <c r="I77" s="117">
        <v>9556</v>
      </c>
      <c r="J77" s="118">
        <f t="shared" si="18"/>
        <v>-2.0098441345365092E-2</v>
      </c>
      <c r="K77" s="117">
        <v>10258</v>
      </c>
      <c r="L77" s="118">
        <f t="shared" si="19"/>
        <v>7.3461699455839247E-2</v>
      </c>
    </row>
    <row r="78" spans="1:13" x14ac:dyDescent="0.25">
      <c r="A78" s="1">
        <v>4</v>
      </c>
      <c r="B78" s="116" t="s">
        <v>82</v>
      </c>
      <c r="C78" s="117">
        <v>6046</v>
      </c>
      <c r="D78" s="118">
        <v>0.81998795906080679</v>
      </c>
      <c r="E78" s="117">
        <v>7441</v>
      </c>
      <c r="F78" s="118">
        <f t="shared" si="18"/>
        <v>0.23073106185908032</v>
      </c>
      <c r="G78" s="117">
        <v>7864</v>
      </c>
      <c r="H78" s="118">
        <f t="shared" si="18"/>
        <v>5.6847197957263784E-2</v>
      </c>
      <c r="I78" s="117">
        <v>7465</v>
      </c>
      <c r="J78" s="118">
        <f t="shared" si="18"/>
        <v>-5.0737538148524886E-2</v>
      </c>
      <c r="K78" s="117">
        <v>8489</v>
      </c>
      <c r="L78" s="118">
        <f t="shared" si="19"/>
        <v>0.13717347622237108</v>
      </c>
    </row>
    <row r="79" spans="1:13" x14ac:dyDescent="0.25">
      <c r="A79" s="1">
        <v>5</v>
      </c>
      <c r="B79" s="116" t="s">
        <v>84</v>
      </c>
      <c r="C79" s="117">
        <v>7344</v>
      </c>
      <c r="D79" s="118">
        <v>0.78295702840495274</v>
      </c>
      <c r="E79" s="117">
        <v>7186</v>
      </c>
      <c r="F79" s="118">
        <f t="shared" si="18"/>
        <v>-2.1514161220043571E-2</v>
      </c>
      <c r="G79" s="117">
        <v>7213</v>
      </c>
      <c r="H79" s="118">
        <f t="shared" si="18"/>
        <v>3.7573058725299813E-3</v>
      </c>
      <c r="I79" s="117">
        <v>7264</v>
      </c>
      <c r="J79" s="118">
        <f t="shared" si="18"/>
        <v>7.0705670317481317E-3</v>
      </c>
      <c r="K79" s="117">
        <v>7229</v>
      </c>
      <c r="L79" s="118">
        <f t="shared" si="19"/>
        <v>-4.8182819383260078E-3</v>
      </c>
    </row>
    <row r="80" spans="1:13" x14ac:dyDescent="0.25">
      <c r="A80" s="1">
        <v>6</v>
      </c>
      <c r="B80" s="116" t="s">
        <v>86</v>
      </c>
      <c r="C80" s="117">
        <v>7467</v>
      </c>
      <c r="D80" s="118">
        <v>0.70246238030095753</v>
      </c>
      <c r="E80" s="117">
        <v>7813</v>
      </c>
      <c r="F80" s="118">
        <f t="shared" si="18"/>
        <v>4.6337217088522786E-2</v>
      </c>
      <c r="G80" s="117">
        <v>8420</v>
      </c>
      <c r="H80" s="118">
        <f t="shared" si="18"/>
        <v>7.7691027774222432E-2</v>
      </c>
      <c r="I80" s="117">
        <v>6498</v>
      </c>
      <c r="J80" s="118">
        <f t="shared" si="18"/>
        <v>-0.22826603325415673</v>
      </c>
      <c r="K80" s="117">
        <v>6812</v>
      </c>
      <c r="L80" s="118">
        <f t="shared" si="19"/>
        <v>4.8322560787934732E-2</v>
      </c>
    </row>
    <row r="81" spans="1:12" x14ac:dyDescent="0.25">
      <c r="A81" s="1">
        <v>7</v>
      </c>
      <c r="B81" s="116" t="s">
        <v>88</v>
      </c>
      <c r="C81" s="117">
        <v>7245</v>
      </c>
      <c r="D81" s="118">
        <v>0.6484641638225257</v>
      </c>
      <c r="E81" s="117">
        <v>7682</v>
      </c>
      <c r="F81" s="118">
        <f t="shared" si="18"/>
        <v>6.0317460317460325E-2</v>
      </c>
      <c r="G81" s="117">
        <v>9060</v>
      </c>
      <c r="H81" s="118">
        <f t="shared" si="18"/>
        <v>0.17938036969539173</v>
      </c>
      <c r="I81" s="117">
        <v>7262</v>
      </c>
      <c r="J81" s="118">
        <f t="shared" si="18"/>
        <v>-0.19845474613686531</v>
      </c>
      <c r="K81" s="117">
        <v>6765</v>
      </c>
      <c r="L81" s="118">
        <f t="shared" si="19"/>
        <v>-6.8438446708895651E-2</v>
      </c>
    </row>
    <row r="82" spans="1:12" x14ac:dyDescent="0.25">
      <c r="A82" s="1">
        <v>8</v>
      </c>
      <c r="B82" s="116" t="s">
        <v>90</v>
      </c>
      <c r="C82" s="117">
        <v>6748</v>
      </c>
      <c r="D82" s="118">
        <v>0.45682210708117443</v>
      </c>
      <c r="E82" s="117">
        <v>5542</v>
      </c>
      <c r="F82" s="118">
        <f t="shared" si="18"/>
        <v>-0.17871962062833435</v>
      </c>
      <c r="G82" s="117">
        <v>5911</v>
      </c>
      <c r="H82" s="118">
        <f t="shared" si="18"/>
        <v>6.6582461205340948E-2</v>
      </c>
      <c r="I82" s="117">
        <v>5051</v>
      </c>
      <c r="J82" s="118">
        <f t="shared" si="18"/>
        <v>-0.14549145660632723</v>
      </c>
      <c r="K82" s="117"/>
      <c r="L82" s="118"/>
    </row>
    <row r="83" spans="1:12" x14ac:dyDescent="0.25">
      <c r="A83" s="1">
        <v>9</v>
      </c>
      <c r="B83" s="116" t="s">
        <v>92</v>
      </c>
      <c r="C83" s="117">
        <v>8645</v>
      </c>
      <c r="D83" s="118">
        <v>0.45318540931248941</v>
      </c>
      <c r="E83" s="117">
        <v>6458</v>
      </c>
      <c r="F83" s="118">
        <f t="shared" si="18"/>
        <v>-0.25297860034702135</v>
      </c>
      <c r="G83" s="117">
        <v>7109</v>
      </c>
      <c r="H83" s="118">
        <f t="shared" si="18"/>
        <v>0.10080520284917927</v>
      </c>
      <c r="I83" s="117">
        <v>6797</v>
      </c>
      <c r="J83" s="118">
        <f t="shared" si="18"/>
        <v>-4.3888029258686179E-2</v>
      </c>
      <c r="K83" s="117"/>
      <c r="L83" s="118"/>
    </row>
    <row r="84" spans="1:12" x14ac:dyDescent="0.25">
      <c r="A84" s="1">
        <v>10</v>
      </c>
      <c r="B84" s="116" t="s">
        <v>94</v>
      </c>
      <c r="C84" s="117">
        <v>9522</v>
      </c>
      <c r="D84" s="118">
        <v>0.33848748945740792</v>
      </c>
      <c r="E84" s="117">
        <v>7581</v>
      </c>
      <c r="F84" s="118">
        <f t="shared" si="18"/>
        <v>-0.20384373030875869</v>
      </c>
      <c r="G84" s="117">
        <v>6383</v>
      </c>
      <c r="H84" s="118">
        <f t="shared" si="18"/>
        <v>-0.15802664556127155</v>
      </c>
      <c r="I84" s="117">
        <v>8154</v>
      </c>
      <c r="J84" s="118">
        <f t="shared" si="18"/>
        <v>0.27745574181419386</v>
      </c>
      <c r="K84" s="117"/>
      <c r="L84" s="118"/>
    </row>
    <row r="85" spans="1:12" x14ac:dyDescent="0.25">
      <c r="A85" s="1">
        <v>11</v>
      </c>
      <c r="B85" s="116" t="s">
        <v>96</v>
      </c>
      <c r="C85" s="117">
        <v>10580</v>
      </c>
      <c r="D85" s="118">
        <v>0.2907161156520679</v>
      </c>
      <c r="E85" s="117">
        <v>8513</v>
      </c>
      <c r="F85" s="118">
        <f t="shared" si="18"/>
        <v>-0.19536862003780719</v>
      </c>
      <c r="G85" s="117">
        <v>9038</v>
      </c>
      <c r="H85" s="118">
        <f t="shared" si="18"/>
        <v>6.1670386467755245E-2</v>
      </c>
      <c r="I85" s="117">
        <v>9603</v>
      </c>
      <c r="J85" s="118">
        <f t="shared" si="18"/>
        <v>6.2513830493472033E-2</v>
      </c>
      <c r="K85" s="117"/>
      <c r="L85" s="118"/>
    </row>
    <row r="86" spans="1:12" x14ac:dyDescent="0.25">
      <c r="A86" s="1">
        <v>12</v>
      </c>
      <c r="B86" s="116" t="s">
        <v>98</v>
      </c>
      <c r="C86" s="117">
        <v>10398</v>
      </c>
      <c r="D86" s="118">
        <v>0.46636581582287406</v>
      </c>
      <c r="E86" s="117">
        <v>7586</v>
      </c>
      <c r="F86" s="118">
        <f t="shared" si="18"/>
        <v>-0.27043662242738986</v>
      </c>
      <c r="G86" s="117">
        <v>9212</v>
      </c>
      <c r="H86" s="118">
        <f t="shared" si="18"/>
        <v>0.21434220933298187</v>
      </c>
      <c r="I86" s="117">
        <v>10025</v>
      </c>
      <c r="J86" s="118">
        <f t="shared" si="18"/>
        <v>8.8254450716456878E-2</v>
      </c>
      <c r="K86" s="117"/>
      <c r="L86" s="118"/>
    </row>
    <row r="87" spans="1:12" ht="15.75" x14ac:dyDescent="0.25">
      <c r="B87" s="119" t="s">
        <v>32</v>
      </c>
      <c r="C87" s="120">
        <v>93434</v>
      </c>
      <c r="D87" s="121">
        <v>0.52386078220308585</v>
      </c>
      <c r="E87" s="120">
        <v>94365</v>
      </c>
      <c r="F87" s="121">
        <f t="shared" si="18"/>
        <v>9.9642528415779807E-3</v>
      </c>
      <c r="G87" s="120">
        <v>99219</v>
      </c>
      <c r="H87" s="121">
        <f t="shared" si="18"/>
        <v>5.1438563026545925E-2</v>
      </c>
      <c r="I87" s="120">
        <v>96001</v>
      </c>
      <c r="J87" s="121">
        <f t="shared" si="18"/>
        <v>-3.2433304105060512E-2</v>
      </c>
      <c r="K87" s="120">
        <v>58001</v>
      </c>
      <c r="L87" s="121">
        <v>2.8915577158467931E-2</v>
      </c>
    </row>
    <row r="88" spans="1:12" ht="6" customHeight="1" x14ac:dyDescent="0.25"/>
    <row r="89" spans="1:12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3" spans="1:12" x14ac:dyDescent="0.25">
      <c r="I93" s="122"/>
    </row>
  </sheetData>
  <mergeCells count="28"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31BAD-3468-4B0D-AD24-B5A5AABEE4E1}">
  <sheetPr>
    <tabColor theme="7" tint="0.79998168889431442"/>
  </sheetPr>
  <dimension ref="A4:E93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273" t="s">
        <v>264</v>
      </c>
      <c r="C4" s="273"/>
      <c r="D4" s="273"/>
      <c r="E4" s="1" t="s">
        <v>71</v>
      </c>
    </row>
    <row r="5" spans="1:5" ht="10.5" customHeight="1" thickBot="1" x14ac:dyDescent="0.3">
      <c r="B5" s="109"/>
      <c r="C5" s="110"/>
      <c r="D5" s="109"/>
      <c r="E5" s="1" t="s">
        <v>72</v>
      </c>
    </row>
    <row r="6" spans="1:5" ht="22.5" thickTop="1" thickBot="1" x14ac:dyDescent="0.3">
      <c r="B6" s="111" t="s">
        <v>32</v>
      </c>
      <c r="C6" s="298" t="s">
        <v>137</v>
      </c>
      <c r="D6" s="299"/>
    </row>
    <row r="7" spans="1:5" ht="16.5" thickTop="1" thickBot="1" x14ac:dyDescent="0.3">
      <c r="B7" s="87"/>
      <c r="C7" s="113" t="s">
        <v>145</v>
      </c>
      <c r="D7" s="114" t="s">
        <v>146</v>
      </c>
    </row>
    <row r="8" spans="1:5" x14ac:dyDescent="0.25">
      <c r="A8" s="1" t="s">
        <v>75</v>
      </c>
      <c r="B8" s="116">
        <v>2025</v>
      </c>
      <c r="C8" s="117">
        <v>282601</v>
      </c>
      <c r="D8" s="118">
        <f t="shared" ref="D8:D10" si="0">C8/C9-1</f>
        <v>0.12856669342310711</v>
      </c>
    </row>
    <row r="9" spans="1:5" x14ac:dyDescent="0.25">
      <c r="A9" s="1"/>
      <c r="B9" s="116">
        <f>B8-1</f>
        <v>2024</v>
      </c>
      <c r="C9" s="117">
        <v>250407</v>
      </c>
      <c r="D9" s="118">
        <f t="shared" si="0"/>
        <v>4.3171251937144772E-2</v>
      </c>
    </row>
    <row r="10" spans="1:5" x14ac:dyDescent="0.25">
      <c r="A10" s="1"/>
      <c r="B10" s="116">
        <f t="shared" ref="B10:B22" si="1">B9-1</f>
        <v>2023</v>
      </c>
      <c r="C10" s="117">
        <v>240044</v>
      </c>
      <c r="D10" s="118">
        <f t="shared" si="0"/>
        <v>4.7627776250267262E-2</v>
      </c>
    </row>
    <row r="11" spans="1:5" x14ac:dyDescent="0.25">
      <c r="A11" s="1"/>
      <c r="B11" s="116">
        <f t="shared" si="1"/>
        <v>2022</v>
      </c>
      <c r="C11" s="117">
        <v>229131</v>
      </c>
      <c r="D11" s="118">
        <f>C11/C12-1</f>
        <v>0.39494575606667559</v>
      </c>
    </row>
    <row r="12" spans="1:5" x14ac:dyDescent="0.25">
      <c r="A12" s="1" t="s">
        <v>77</v>
      </c>
      <c r="B12" s="116">
        <f t="shared" si="1"/>
        <v>2021</v>
      </c>
      <c r="C12" s="117">
        <v>164258</v>
      </c>
      <c r="D12" s="118">
        <f t="shared" ref="D12:D21" si="2">C12/C13-1</f>
        <v>0.58678851578499946</v>
      </c>
    </row>
    <row r="13" spans="1:5" x14ac:dyDescent="0.25">
      <c r="A13" s="1" t="s">
        <v>79</v>
      </c>
      <c r="B13" s="116">
        <f t="shared" si="1"/>
        <v>2020</v>
      </c>
      <c r="C13" s="117">
        <v>103516</v>
      </c>
      <c r="D13" s="118">
        <f t="shared" si="2"/>
        <v>-0.53035864165324509</v>
      </c>
    </row>
    <row r="14" spans="1:5" x14ac:dyDescent="0.25">
      <c r="A14" s="1" t="s">
        <v>81</v>
      </c>
      <c r="B14" s="116">
        <f t="shared" si="1"/>
        <v>2019</v>
      </c>
      <c r="C14" s="117">
        <v>220415</v>
      </c>
      <c r="D14" s="118">
        <f t="shared" si="2"/>
        <v>-5.1199049541774122E-2</v>
      </c>
    </row>
    <row r="15" spans="1:5" x14ac:dyDescent="0.25">
      <c r="A15" s="1" t="s">
        <v>83</v>
      </c>
      <c r="B15" s="116">
        <f t="shared" si="1"/>
        <v>2018</v>
      </c>
      <c r="C15" s="117">
        <v>232309</v>
      </c>
      <c r="D15" s="118">
        <f>C15/C16-1</f>
        <v>-0.10533734369042713</v>
      </c>
    </row>
    <row r="16" spans="1:5" x14ac:dyDescent="0.25">
      <c r="A16" s="1" t="s">
        <v>85</v>
      </c>
      <c r="B16" s="116">
        <f t="shared" si="1"/>
        <v>2017</v>
      </c>
      <c r="C16" s="117">
        <v>259661</v>
      </c>
      <c r="D16" s="118">
        <f>C16/C17-1</f>
        <v>2.72375541981833E-2</v>
      </c>
    </row>
    <row r="17" spans="1:5" x14ac:dyDescent="0.25">
      <c r="A17" s="1" t="s">
        <v>87</v>
      </c>
      <c r="B17" s="116">
        <f t="shared" si="1"/>
        <v>2016</v>
      </c>
      <c r="C17" s="117">
        <v>252776</v>
      </c>
      <c r="D17" s="118">
        <f t="shared" si="2"/>
        <v>9.7770809899983879E-2</v>
      </c>
    </row>
    <row r="18" spans="1:5" x14ac:dyDescent="0.25">
      <c r="A18" s="1" t="s">
        <v>89</v>
      </c>
      <c r="B18" s="116">
        <f t="shared" si="1"/>
        <v>2015</v>
      </c>
      <c r="C18" s="117">
        <v>230263</v>
      </c>
      <c r="D18" s="118">
        <f t="shared" si="2"/>
        <v>0.1334127456819536</v>
      </c>
    </row>
    <row r="19" spans="1:5" x14ac:dyDescent="0.25">
      <c r="A19" s="1" t="s">
        <v>91</v>
      </c>
      <c r="B19" s="116">
        <f t="shared" si="1"/>
        <v>2014</v>
      </c>
      <c r="C19" s="117">
        <v>203159</v>
      </c>
      <c r="D19" s="118">
        <f t="shared" si="2"/>
        <v>0.13291583948606989</v>
      </c>
    </row>
    <row r="20" spans="1:5" x14ac:dyDescent="0.25">
      <c r="A20" s="1" t="s">
        <v>93</v>
      </c>
      <c r="B20" s="116">
        <f t="shared" si="1"/>
        <v>2013</v>
      </c>
      <c r="C20" s="117">
        <v>179324</v>
      </c>
      <c r="D20" s="118">
        <f>C20/C21-1</f>
        <v>9.5175277879565146E-2</v>
      </c>
    </row>
    <row r="21" spans="1:5" x14ac:dyDescent="0.25">
      <c r="A21" s="1" t="s">
        <v>95</v>
      </c>
      <c r="B21" s="116">
        <f t="shared" si="1"/>
        <v>2012</v>
      </c>
      <c r="C21" s="117">
        <v>163740</v>
      </c>
      <c r="D21" s="118">
        <f t="shared" si="2"/>
        <v>-1.9679453022565241E-2</v>
      </c>
    </row>
    <row r="22" spans="1:5" x14ac:dyDescent="0.25">
      <c r="A22" s="1" t="s">
        <v>97</v>
      </c>
      <c r="B22" s="116">
        <f t="shared" si="1"/>
        <v>2011</v>
      </c>
      <c r="C22" s="117">
        <v>167027</v>
      </c>
      <c r="D22" s="118"/>
    </row>
    <row r="23" spans="1:5" ht="6" customHeight="1" x14ac:dyDescent="0.25"/>
    <row r="24" spans="1:5" x14ac:dyDescent="0.25">
      <c r="B24" s="107" t="s">
        <v>57</v>
      </c>
      <c r="C24" s="107"/>
      <c r="D24" s="107"/>
    </row>
    <row r="27" spans="1:5" ht="48.75" customHeight="1" thickBot="1" x14ac:dyDescent="0.3">
      <c r="B27" s="273" t="s">
        <v>265</v>
      </c>
      <c r="C27" s="273"/>
      <c r="D27" s="273"/>
      <c r="E27" s="1" t="s">
        <v>99</v>
      </c>
    </row>
    <row r="28" spans="1:5" ht="10.5" customHeight="1" thickBot="1" x14ac:dyDescent="0.3">
      <c r="B28" s="109"/>
      <c r="C28" s="110"/>
      <c r="D28" s="109"/>
      <c r="E28" s="1" t="s">
        <v>100</v>
      </c>
    </row>
    <row r="29" spans="1:5" ht="22.5" thickTop="1" thickBot="1" x14ac:dyDescent="0.3">
      <c r="B29" s="123" t="s">
        <v>101</v>
      </c>
      <c r="C29" s="298" t="s">
        <v>142</v>
      </c>
      <c r="D29" s="299"/>
    </row>
    <row r="30" spans="1:5" ht="16.5" thickTop="1" thickBot="1" x14ac:dyDescent="0.3">
      <c r="B30" s="87"/>
      <c r="C30" s="113" t="s">
        <v>145</v>
      </c>
      <c r="D30" s="114" t="s">
        <v>146</v>
      </c>
    </row>
    <row r="31" spans="1:5" x14ac:dyDescent="0.25">
      <c r="B31" s="116">
        <v>2025</v>
      </c>
      <c r="C31" s="117">
        <v>282601</v>
      </c>
      <c r="D31" s="118">
        <f t="shared" ref="D31:D44" si="3">C31/C32-1</f>
        <v>0.12856669342310711</v>
      </c>
    </row>
    <row r="32" spans="1:5" x14ac:dyDescent="0.25">
      <c r="B32" s="116">
        <f>B31-1</f>
        <v>2024</v>
      </c>
      <c r="C32" s="117">
        <v>250407</v>
      </c>
      <c r="D32" s="118">
        <f t="shared" si="3"/>
        <v>4.3171251937144772E-2</v>
      </c>
    </row>
    <row r="33" spans="2:4" x14ac:dyDescent="0.25">
      <c r="B33" s="116">
        <f t="shared" ref="B33:B45" si="4">B32-1</f>
        <v>2023</v>
      </c>
      <c r="C33" s="117">
        <v>240044</v>
      </c>
      <c r="D33" s="118">
        <f t="shared" si="3"/>
        <v>4.7627776250267262E-2</v>
      </c>
    </row>
    <row r="34" spans="2:4" x14ac:dyDescent="0.25">
      <c r="B34" s="116">
        <f t="shared" si="4"/>
        <v>2022</v>
      </c>
      <c r="C34" s="117">
        <v>229131</v>
      </c>
      <c r="D34" s="118">
        <f t="shared" si="3"/>
        <v>0.39494575606667559</v>
      </c>
    </row>
    <row r="35" spans="2:4" x14ac:dyDescent="0.25">
      <c r="B35" s="116">
        <f t="shared" si="4"/>
        <v>2021</v>
      </c>
      <c r="C35" s="117">
        <v>164258</v>
      </c>
      <c r="D35" s="118">
        <f t="shared" si="3"/>
        <v>0.58678851578499946</v>
      </c>
    </row>
    <row r="36" spans="2:4" x14ac:dyDescent="0.25">
      <c r="B36" s="116">
        <f t="shared" si="4"/>
        <v>2020</v>
      </c>
      <c r="C36" s="117">
        <v>103516</v>
      </c>
      <c r="D36" s="118">
        <f t="shared" si="3"/>
        <v>-0.53035864165324509</v>
      </c>
    </row>
    <row r="37" spans="2:4" x14ac:dyDescent="0.25">
      <c r="B37" s="116">
        <f t="shared" si="4"/>
        <v>2019</v>
      </c>
      <c r="C37" s="117">
        <v>220415</v>
      </c>
      <c r="D37" s="118">
        <f t="shared" si="3"/>
        <v>-5.1199049541774122E-2</v>
      </c>
    </row>
    <row r="38" spans="2:4" x14ac:dyDescent="0.25">
      <c r="B38" s="116">
        <f t="shared" si="4"/>
        <v>2018</v>
      </c>
      <c r="C38" s="117">
        <v>232309</v>
      </c>
      <c r="D38" s="118">
        <f>C38/C39-1</f>
        <v>-0.10533734369042713</v>
      </c>
    </row>
    <row r="39" spans="2:4" x14ac:dyDescent="0.25">
      <c r="B39" s="116">
        <f t="shared" si="4"/>
        <v>2017</v>
      </c>
      <c r="C39" s="117">
        <v>259661</v>
      </c>
      <c r="D39" s="118">
        <f>C39/C40-1</f>
        <v>2.72375541981833E-2</v>
      </c>
    </row>
    <row r="40" spans="2:4" x14ac:dyDescent="0.25">
      <c r="B40" s="116">
        <f t="shared" si="4"/>
        <v>2016</v>
      </c>
      <c r="C40" s="117">
        <v>252776</v>
      </c>
      <c r="D40" s="118">
        <f t="shared" si="3"/>
        <v>9.7770809899983879E-2</v>
      </c>
    </row>
    <row r="41" spans="2:4" x14ac:dyDescent="0.25">
      <c r="B41" s="116">
        <f t="shared" si="4"/>
        <v>2015</v>
      </c>
      <c r="C41" s="117">
        <v>230263</v>
      </c>
      <c r="D41" s="118">
        <f t="shared" si="3"/>
        <v>0.1334127456819536</v>
      </c>
    </row>
    <row r="42" spans="2:4" x14ac:dyDescent="0.25">
      <c r="B42" s="116">
        <f t="shared" si="4"/>
        <v>2014</v>
      </c>
      <c r="C42" s="117">
        <v>203159</v>
      </c>
      <c r="D42" s="118">
        <f t="shared" si="3"/>
        <v>0.13291583948606989</v>
      </c>
    </row>
    <row r="43" spans="2:4" x14ac:dyDescent="0.25">
      <c r="B43" s="116">
        <f t="shared" si="4"/>
        <v>2013</v>
      </c>
      <c r="C43" s="117">
        <v>179324</v>
      </c>
      <c r="D43" s="118">
        <f>C43/C44-1</f>
        <v>9.5175277879565146E-2</v>
      </c>
    </row>
    <row r="44" spans="2:4" x14ac:dyDescent="0.25">
      <c r="B44" s="116">
        <f t="shared" si="4"/>
        <v>2012</v>
      </c>
      <c r="C44" s="117">
        <v>163740</v>
      </c>
      <c r="D44" s="118">
        <f t="shared" si="3"/>
        <v>-1.9679453022565241E-2</v>
      </c>
    </row>
    <row r="45" spans="2:4" x14ac:dyDescent="0.25">
      <c r="B45" s="116">
        <f t="shared" si="4"/>
        <v>2011</v>
      </c>
      <c r="C45" s="117">
        <v>167027</v>
      </c>
      <c r="D45" s="118"/>
    </row>
    <row r="46" spans="2:4" ht="6" customHeight="1" x14ac:dyDescent="0.25"/>
    <row r="47" spans="2:4" x14ac:dyDescent="0.25">
      <c r="B47" s="107" t="s">
        <v>57</v>
      </c>
      <c r="C47" s="107"/>
      <c r="D47" s="107"/>
    </row>
    <row r="50" spans="1:5" ht="48.75" customHeight="1" thickBot="1" x14ac:dyDescent="0.3">
      <c r="B50" s="273" t="s">
        <v>266</v>
      </c>
      <c r="C50" s="273"/>
      <c r="D50" s="273"/>
      <c r="E50" s="1" t="s">
        <v>103</v>
      </c>
    </row>
    <row r="51" spans="1:5" ht="10.5" customHeight="1" thickBot="1" x14ac:dyDescent="0.3">
      <c r="B51" s="109"/>
      <c r="C51" s="110"/>
      <c r="D51" s="109"/>
      <c r="E51" s="1" t="s">
        <v>104</v>
      </c>
    </row>
    <row r="52" spans="1:5" ht="22.5" thickTop="1" thickBot="1" x14ac:dyDescent="0.3">
      <c r="B52" s="111" t="s">
        <v>68</v>
      </c>
      <c r="C52" s="298" t="s">
        <v>63</v>
      </c>
      <c r="D52" s="299"/>
    </row>
    <row r="53" spans="1:5" ht="16.5" thickTop="1" thickBot="1" x14ac:dyDescent="0.3">
      <c r="B53" s="87"/>
      <c r="C53" s="113" t="s">
        <v>145</v>
      </c>
      <c r="D53" s="114" t="s">
        <v>146</v>
      </c>
    </row>
    <row r="54" spans="1:5" x14ac:dyDescent="0.25">
      <c r="A54" s="1">
        <v>1</v>
      </c>
      <c r="B54" s="116">
        <v>2025</v>
      </c>
      <c r="C54" s="117">
        <v>186600</v>
      </c>
      <c r="D54" s="118">
        <f t="shared" ref="D54:D56" si="5">C54/C55-1</f>
        <v>0.23422493848718151</v>
      </c>
    </row>
    <row r="55" spans="1:5" x14ac:dyDescent="0.25">
      <c r="A55" s="1"/>
      <c r="B55" s="116">
        <f>B54-1</f>
        <v>2024</v>
      </c>
      <c r="C55" s="117">
        <v>151188</v>
      </c>
      <c r="D55" s="118">
        <f t="shared" si="5"/>
        <v>3.7816020153899954E-2</v>
      </c>
    </row>
    <row r="56" spans="1:5" x14ac:dyDescent="0.25">
      <c r="A56" s="1"/>
      <c r="B56" s="116">
        <f t="shared" ref="B56:B68" si="6">B55-1</f>
        <v>2023</v>
      </c>
      <c r="C56" s="117">
        <v>145679</v>
      </c>
      <c r="D56" s="118">
        <f t="shared" si="5"/>
        <v>7.3560948289203232E-2</v>
      </c>
    </row>
    <row r="57" spans="1:5" x14ac:dyDescent="0.25">
      <c r="A57" s="1"/>
      <c r="B57" s="116">
        <f t="shared" si="6"/>
        <v>2022</v>
      </c>
      <c r="C57" s="117">
        <v>135697</v>
      </c>
      <c r="D57" s="118">
        <f>C57/C58-1</f>
        <v>0.31816327323593407</v>
      </c>
    </row>
    <row r="58" spans="1:5" x14ac:dyDescent="0.25">
      <c r="A58" s="1">
        <v>2</v>
      </c>
      <c r="B58" s="116">
        <f t="shared" si="6"/>
        <v>2021</v>
      </c>
      <c r="C58" s="117">
        <v>102944</v>
      </c>
      <c r="D58" s="118">
        <f t="shared" ref="D58:D67" si="7">C58/C59-1</f>
        <v>0.87895159523983346</v>
      </c>
    </row>
    <row r="59" spans="1:5" x14ac:dyDescent="0.25">
      <c r="A59" s="1">
        <v>3</v>
      </c>
      <c r="B59" s="116">
        <f t="shared" si="6"/>
        <v>2020</v>
      </c>
      <c r="C59" s="117">
        <v>54788</v>
      </c>
      <c r="D59" s="118">
        <f t="shared" si="7"/>
        <v>-0.50564839210307866</v>
      </c>
    </row>
    <row r="60" spans="1:5" x14ac:dyDescent="0.25">
      <c r="A60" s="1">
        <v>4</v>
      </c>
      <c r="B60" s="116">
        <f t="shared" si="6"/>
        <v>2019</v>
      </c>
      <c r="C60" s="117">
        <v>110828</v>
      </c>
      <c r="D60" s="118">
        <f t="shared" si="7"/>
        <v>-3.9610395237393736E-2</v>
      </c>
    </row>
    <row r="61" spans="1:5" x14ac:dyDescent="0.25">
      <c r="A61" s="1">
        <v>5</v>
      </c>
      <c r="B61" s="116">
        <f t="shared" si="6"/>
        <v>2018</v>
      </c>
      <c r="C61" s="117">
        <v>115399</v>
      </c>
      <c r="D61" s="118">
        <f>C61/C62-1</f>
        <v>0.13766451422092962</v>
      </c>
    </row>
    <row r="62" spans="1:5" x14ac:dyDescent="0.25">
      <c r="A62" s="1">
        <v>6</v>
      </c>
      <c r="B62" s="116">
        <f t="shared" si="6"/>
        <v>2017</v>
      </c>
      <c r="C62" s="117">
        <v>101435</v>
      </c>
      <c r="D62" s="118">
        <f>C62/C63-1</f>
        <v>0.35757113413099928</v>
      </c>
    </row>
    <row r="63" spans="1:5" x14ac:dyDescent="0.25">
      <c r="A63" s="1">
        <v>7</v>
      </c>
      <c r="B63" s="116">
        <f t="shared" si="6"/>
        <v>2016</v>
      </c>
      <c r="C63" s="117">
        <v>74718</v>
      </c>
      <c r="D63" s="118">
        <f t="shared" si="7"/>
        <v>8.7693248318630346E-2</v>
      </c>
    </row>
    <row r="64" spans="1:5" x14ac:dyDescent="0.25">
      <c r="A64" s="1">
        <v>8</v>
      </c>
      <c r="B64" s="116">
        <f t="shared" si="6"/>
        <v>2015</v>
      </c>
      <c r="C64" s="117">
        <v>68694</v>
      </c>
      <c r="D64" s="118">
        <f t="shared" si="7"/>
        <v>0.16598489349062207</v>
      </c>
    </row>
    <row r="65" spans="1:5" x14ac:dyDescent="0.25">
      <c r="A65" s="1">
        <v>9</v>
      </c>
      <c r="B65" s="116">
        <f t="shared" si="6"/>
        <v>2014</v>
      </c>
      <c r="C65" s="117">
        <v>58915</v>
      </c>
      <c r="D65" s="118">
        <f t="shared" si="7"/>
        <v>0.24582364136181001</v>
      </c>
    </row>
    <row r="66" spans="1:5" x14ac:dyDescent="0.25">
      <c r="A66" s="1">
        <v>10</v>
      </c>
      <c r="B66" s="116">
        <f t="shared" si="6"/>
        <v>2013</v>
      </c>
      <c r="C66" s="117">
        <v>47290</v>
      </c>
      <c r="D66" s="118">
        <f>C66/C67-1</f>
        <v>6.2935491121600462E-2</v>
      </c>
    </row>
    <row r="67" spans="1:5" x14ac:dyDescent="0.25">
      <c r="A67" s="1">
        <v>11</v>
      </c>
      <c r="B67" s="116">
        <f t="shared" si="6"/>
        <v>2012</v>
      </c>
      <c r="C67" s="117">
        <v>44490</v>
      </c>
      <c r="D67" s="118">
        <f t="shared" si="7"/>
        <v>0.23893065998329166</v>
      </c>
    </row>
    <row r="68" spans="1:5" x14ac:dyDescent="0.25">
      <c r="A68" s="1">
        <v>12</v>
      </c>
      <c r="B68" s="116">
        <f t="shared" si="6"/>
        <v>2011</v>
      </c>
      <c r="C68" s="117">
        <v>35910</v>
      </c>
      <c r="D68" s="118"/>
    </row>
    <row r="69" spans="1:5" ht="6" customHeight="1" x14ac:dyDescent="0.25"/>
    <row r="70" spans="1:5" x14ac:dyDescent="0.25">
      <c r="B70" s="107" t="s">
        <v>57</v>
      </c>
      <c r="C70" s="107"/>
      <c r="D70" s="107"/>
    </row>
    <row r="73" spans="1:5" ht="48.75" customHeight="1" thickBot="1" x14ac:dyDescent="0.3">
      <c r="B73" s="273" t="s">
        <v>147</v>
      </c>
      <c r="C73" s="273"/>
      <c r="D73" s="273"/>
      <c r="E73" s="1" t="s">
        <v>106</v>
      </c>
    </row>
    <row r="74" spans="1:5" ht="10.5" customHeight="1" thickBot="1" x14ac:dyDescent="0.3">
      <c r="B74" s="109"/>
      <c r="C74" s="110"/>
      <c r="D74" s="109"/>
      <c r="E74" s="1" t="s">
        <v>107</v>
      </c>
    </row>
    <row r="75" spans="1:5" ht="22.5" thickTop="1" thickBot="1" x14ac:dyDescent="0.3">
      <c r="B75" s="111" t="s">
        <v>69</v>
      </c>
      <c r="C75" s="298" t="s">
        <v>64</v>
      </c>
      <c r="D75" s="299"/>
    </row>
    <row r="76" spans="1:5" ht="16.5" thickTop="1" thickBot="1" x14ac:dyDescent="0.3">
      <c r="B76" s="87"/>
      <c r="C76" s="113" t="s">
        <v>145</v>
      </c>
      <c r="D76" s="114" t="s">
        <v>146</v>
      </c>
    </row>
    <row r="77" spans="1:5" x14ac:dyDescent="0.25">
      <c r="A77" s="1">
        <v>1</v>
      </c>
      <c r="B77" s="116">
        <v>2025</v>
      </c>
      <c r="C77" s="117">
        <v>96001</v>
      </c>
      <c r="D77" s="118">
        <f t="shared" ref="D77:D83" si="8">C77/C78-1</f>
        <v>-3.2433304105060512E-2</v>
      </c>
    </row>
    <row r="78" spans="1:5" x14ac:dyDescent="0.25">
      <c r="A78" s="1"/>
      <c r="B78" s="116">
        <f>B77-1</f>
        <v>2024</v>
      </c>
      <c r="C78" s="117">
        <v>99219</v>
      </c>
      <c r="D78" s="118">
        <f t="shared" si="8"/>
        <v>5.1438563026545925E-2</v>
      </c>
    </row>
    <row r="79" spans="1:5" x14ac:dyDescent="0.25">
      <c r="A79" s="1"/>
      <c r="B79" s="116">
        <f t="shared" ref="B79:B91" si="9">B78-1</f>
        <v>2023</v>
      </c>
      <c r="C79" s="117">
        <v>94365</v>
      </c>
      <c r="D79" s="118">
        <f t="shared" si="8"/>
        <v>9.9642528415779807E-3</v>
      </c>
    </row>
    <row r="80" spans="1:5" x14ac:dyDescent="0.25">
      <c r="A80" s="1"/>
      <c r="B80" s="116">
        <f t="shared" si="9"/>
        <v>2022</v>
      </c>
      <c r="C80" s="117">
        <v>93434</v>
      </c>
      <c r="D80" s="118">
        <f t="shared" si="8"/>
        <v>0.52386078220308585</v>
      </c>
    </row>
    <row r="81" spans="1:4" x14ac:dyDescent="0.25">
      <c r="A81" s="1">
        <v>2</v>
      </c>
      <c r="B81" s="116">
        <f t="shared" si="9"/>
        <v>2021</v>
      </c>
      <c r="C81" s="117">
        <v>61314</v>
      </c>
      <c r="D81" s="118">
        <f t="shared" si="8"/>
        <v>0.25829092103102935</v>
      </c>
    </row>
    <row r="82" spans="1:4" x14ac:dyDescent="0.25">
      <c r="A82" s="1">
        <v>3</v>
      </c>
      <c r="B82" s="116">
        <f t="shared" si="9"/>
        <v>2020</v>
      </c>
      <c r="C82" s="117">
        <v>48728</v>
      </c>
      <c r="D82" s="118">
        <f t="shared" si="8"/>
        <v>-0.55534871836987965</v>
      </c>
    </row>
    <row r="83" spans="1:4" x14ac:dyDescent="0.25">
      <c r="A83" s="1">
        <v>4</v>
      </c>
      <c r="B83" s="116">
        <f t="shared" si="9"/>
        <v>2019</v>
      </c>
      <c r="C83" s="117">
        <v>109587</v>
      </c>
      <c r="D83" s="118">
        <f t="shared" si="8"/>
        <v>-6.2637926610212946E-2</v>
      </c>
    </row>
    <row r="84" spans="1:4" x14ac:dyDescent="0.25">
      <c r="A84" s="1">
        <v>5</v>
      </c>
      <c r="B84" s="116">
        <f t="shared" si="9"/>
        <v>2018</v>
      </c>
      <c r="C84" s="117">
        <v>116910</v>
      </c>
      <c r="D84" s="118">
        <f>C84/C85-1</f>
        <v>-0.26112016988358422</v>
      </c>
    </row>
    <row r="85" spans="1:4" x14ac:dyDescent="0.25">
      <c r="A85" s="1">
        <v>6</v>
      </c>
      <c r="B85" s="116">
        <f t="shared" si="9"/>
        <v>2017</v>
      </c>
      <c r="C85" s="117">
        <v>158226</v>
      </c>
      <c r="D85" s="118">
        <f>C85/C86-1</f>
        <v>-0.11137943816059936</v>
      </c>
    </row>
    <row r="86" spans="1:4" x14ac:dyDescent="0.25">
      <c r="A86" s="1">
        <v>7</v>
      </c>
      <c r="B86" s="116">
        <f t="shared" si="9"/>
        <v>2016</v>
      </c>
      <c r="C86" s="117">
        <v>178058</v>
      </c>
      <c r="D86" s="118">
        <f t="shared" ref="D86:D88" si="10">C86/C87-1</f>
        <v>0.10205546856141967</v>
      </c>
    </row>
    <row r="87" spans="1:4" x14ac:dyDescent="0.25">
      <c r="A87" s="1">
        <v>8</v>
      </c>
      <c r="B87" s="116">
        <f t="shared" si="9"/>
        <v>2015</v>
      </c>
      <c r="C87" s="117">
        <v>161569</v>
      </c>
      <c r="D87" s="118">
        <f t="shared" si="10"/>
        <v>0.12010898200271769</v>
      </c>
    </row>
    <row r="88" spans="1:4" x14ac:dyDescent="0.25">
      <c r="A88" s="1">
        <v>9</v>
      </c>
      <c r="B88" s="116">
        <f t="shared" si="9"/>
        <v>2014</v>
      </c>
      <c r="C88" s="117">
        <v>144244</v>
      </c>
      <c r="D88" s="118">
        <f t="shared" si="10"/>
        <v>9.2476180377781381E-2</v>
      </c>
    </row>
    <row r="89" spans="1:4" x14ac:dyDescent="0.25">
      <c r="A89" s="1">
        <v>10</v>
      </c>
      <c r="B89" s="116">
        <f t="shared" si="9"/>
        <v>2013</v>
      </c>
      <c r="C89" s="117">
        <v>132034</v>
      </c>
      <c r="D89" s="118">
        <f>C89/C90-1</f>
        <v>0.10720335429769401</v>
      </c>
    </row>
    <row r="90" spans="1:4" x14ac:dyDescent="0.25">
      <c r="A90" s="1">
        <v>11</v>
      </c>
      <c r="B90" s="116">
        <f t="shared" si="9"/>
        <v>2012</v>
      </c>
      <c r="C90" s="117">
        <v>119250</v>
      </c>
      <c r="D90" s="118">
        <f t="shared" ref="D90" si="11">C90/C91-1</f>
        <v>-9.0506951806401892E-2</v>
      </c>
    </row>
    <row r="91" spans="1:4" x14ac:dyDescent="0.25">
      <c r="A91" s="1">
        <v>12</v>
      </c>
      <c r="B91" s="116">
        <f t="shared" si="9"/>
        <v>2011</v>
      </c>
      <c r="C91" s="117">
        <v>131117</v>
      </c>
      <c r="D91" s="118"/>
    </row>
    <row r="92" spans="1:4" ht="6" customHeight="1" x14ac:dyDescent="0.25">
      <c r="C92" s="117" t="s">
        <v>239</v>
      </c>
    </row>
    <row r="93" spans="1:4" x14ac:dyDescent="0.25">
      <c r="B93" s="107" t="s">
        <v>57</v>
      </c>
      <c r="C93" s="107"/>
      <c r="D93" s="107"/>
    </row>
  </sheetData>
  <mergeCells count="8">
    <mergeCell ref="B73:D73"/>
    <mergeCell ref="C75:D75"/>
    <mergeCell ref="B4:D4"/>
    <mergeCell ref="C6:D6"/>
    <mergeCell ref="B27:D27"/>
    <mergeCell ref="C29:D29"/>
    <mergeCell ref="B50:D50"/>
    <mergeCell ref="C52:D52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407D9-7FB7-45FB-A64E-0EE28D28AF4E}">
  <sheetPr>
    <tabColor theme="7" tint="0.79998168889431442"/>
  </sheetPr>
  <dimension ref="A1:V59"/>
  <sheetViews>
    <sheetView showGridLines="0" workbookViewId="0"/>
  </sheetViews>
  <sheetFormatPr baseColWidth="10" defaultRowHeight="15" x14ac:dyDescent="0.25"/>
  <cols>
    <col min="1" max="1" width="15.5703125" customWidth="1"/>
    <col min="2" max="2" width="27.42578125" customWidth="1"/>
    <col min="3" max="8" width="12.85546875" customWidth="1"/>
    <col min="9" max="10" width="9.7109375" customWidth="1"/>
    <col min="11" max="11" width="12.28515625" customWidth="1"/>
    <col min="17" max="18" width="11.42578125" customWidth="1"/>
    <col min="19" max="20" width="10.42578125" customWidth="1"/>
    <col min="21" max="21" width="11.140625" customWidth="1"/>
    <col min="22" max="22" width="10.42578125" customWidth="1"/>
  </cols>
  <sheetData>
    <row r="1" spans="1:22" ht="42.75" customHeight="1" x14ac:dyDescent="0.25"/>
    <row r="2" spans="1:22" ht="23.25" x14ac:dyDescent="0.35">
      <c r="B2" s="128"/>
      <c r="C2" s="128"/>
      <c r="D2" s="128"/>
      <c r="E2" s="128"/>
      <c r="F2" s="128"/>
    </row>
    <row r="3" spans="1:22" ht="40.5" customHeight="1" thickBot="1" x14ac:dyDescent="0.3">
      <c r="B3" s="66" t="s">
        <v>148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</row>
    <row r="4" spans="1:22" ht="8.25" customHeight="1" thickBot="1" x14ac:dyDescent="0.3">
      <c r="B4" s="85"/>
      <c r="C4" s="85"/>
      <c r="D4" s="85"/>
      <c r="E4" s="85"/>
      <c r="F4" s="85"/>
      <c r="G4" s="85"/>
      <c r="H4" s="85"/>
      <c r="I4" s="85"/>
      <c r="J4" s="86"/>
      <c r="K4" s="85"/>
      <c r="L4" s="85"/>
      <c r="M4" s="85"/>
      <c r="N4" s="85"/>
      <c r="O4" s="85"/>
      <c r="P4" s="85"/>
      <c r="Q4" s="85"/>
      <c r="R4" s="86"/>
      <c r="S4" s="86"/>
      <c r="T4" s="86"/>
      <c r="U4" s="86"/>
      <c r="V4" s="86"/>
    </row>
    <row r="5" spans="1:22" ht="60.75" thickBot="1" x14ac:dyDescent="0.3">
      <c r="A5" s="1"/>
      <c r="B5" s="87"/>
      <c r="C5" s="129" t="s">
        <v>267</v>
      </c>
      <c r="D5" s="129" t="s">
        <v>240</v>
      </c>
      <c r="E5" s="129" t="s">
        <v>241</v>
      </c>
      <c r="F5" s="129" t="s">
        <v>242</v>
      </c>
      <c r="G5" s="129" t="s">
        <v>243</v>
      </c>
      <c r="H5" s="129" t="s">
        <v>244</v>
      </c>
      <c r="I5" s="130" t="str">
        <f>CONCATENATE("var. ",RIGHT(H5,2),"/",RIGHT(G5,2))</f>
        <v>var. 26/25</v>
      </c>
      <c r="J5" s="130" t="str">
        <f>CONCATENATE("dif. ",RIGHT(H5,2),"/",RIGHT(G5,2))</f>
        <v>dif. 26/25</v>
      </c>
      <c r="K5" s="14" t="str">
        <f>CONCATENATE("cuota ",H5)</f>
        <v>cuota acumulado a julio 2026</v>
      </c>
      <c r="L5" s="14" t="str">
        <f>CONCATENATE("cuota/ total municipio ",RIGHT(H5,2))</f>
        <v>cuota/ total municipio 26</v>
      </c>
      <c r="M5" s="13" t="s">
        <v>268</v>
      </c>
      <c r="N5" s="13" t="s">
        <v>234</v>
      </c>
      <c r="O5" s="13" t="s">
        <v>235</v>
      </c>
      <c r="P5" s="13" t="s">
        <v>236</v>
      </c>
      <c r="Q5" s="13" t="s">
        <v>237</v>
      </c>
      <c r="R5" s="13" t="s">
        <v>238</v>
      </c>
      <c r="S5" s="130" t="str">
        <f>CONCATENATE("var. ",RIGHT(R5,2),"/",RIGHT(Q5,2))</f>
        <v>var. 26/25</v>
      </c>
      <c r="T5" s="130" t="str">
        <f>CONCATENATE("dif. ",RIGHT(R5,2),"/",RIGHT(Q5,2))</f>
        <v>dif. 26/25</v>
      </c>
      <c r="U5" s="14" t="str">
        <f>CONCATENATE("cuota ",R5)</f>
        <v>cuota julio 2026</v>
      </c>
      <c r="V5" s="131" t="str">
        <f>CONCATENATE("cuota/ total municipio ",RIGHT(R5,2))</f>
        <v>cuota/ total municipio 26</v>
      </c>
    </row>
    <row r="6" spans="1:22" ht="15.75" x14ac:dyDescent="0.25">
      <c r="A6" s="1"/>
      <c r="B6" s="132" t="s">
        <v>45</v>
      </c>
      <c r="C6" s="133">
        <v>745750</v>
      </c>
      <c r="D6" s="133">
        <v>2658818</v>
      </c>
      <c r="E6" s="133">
        <v>2977588</v>
      </c>
      <c r="F6" s="133">
        <v>3169430</v>
      </c>
      <c r="G6" s="133">
        <v>3151846</v>
      </c>
      <c r="H6" s="133">
        <v>3143788</v>
      </c>
      <c r="I6" s="134">
        <f>IFERROR(H6/G6-1,"-")</f>
        <v>-2.5565969910966713E-3</v>
      </c>
      <c r="J6" s="133">
        <f>IFERROR(H6-G6,"-")</f>
        <v>-8058</v>
      </c>
      <c r="K6" s="134">
        <f t="shared" ref="K6:K57" si="0">IFERROR(H6/$H$6,"-")</f>
        <v>1</v>
      </c>
      <c r="L6" s="135">
        <f>H6/H6</f>
        <v>1</v>
      </c>
      <c r="M6" s="133">
        <v>224964</v>
      </c>
      <c r="N6" s="133">
        <v>455417</v>
      </c>
      <c r="O6" s="133">
        <v>454190</v>
      </c>
      <c r="P6" s="133">
        <v>480798</v>
      </c>
      <c r="Q6" s="133">
        <v>485154</v>
      </c>
      <c r="R6" s="133">
        <v>484506</v>
      </c>
      <c r="S6" s="134">
        <f>IFERROR(R6/Q6-1,"-")</f>
        <v>-1.3356583682706535E-3</v>
      </c>
      <c r="T6" s="133">
        <f t="shared" ref="T6:T57" si="1">R6-Q6</f>
        <v>-648</v>
      </c>
      <c r="U6" s="134">
        <f>IFERROR(P6/$P$6,"-")</f>
        <v>1</v>
      </c>
      <c r="V6" s="135">
        <f>IFERROR(R6/R6,"-")</f>
        <v>1</v>
      </c>
    </row>
    <row r="7" spans="1:22" ht="15.75" x14ac:dyDescent="0.25">
      <c r="A7" s="1"/>
      <c r="B7" s="136" t="s">
        <v>62</v>
      </c>
      <c r="C7" s="137">
        <v>578416</v>
      </c>
      <c r="D7" s="137">
        <v>2111099</v>
      </c>
      <c r="E7" s="137">
        <v>2351509</v>
      </c>
      <c r="F7" s="137">
        <v>2475982</v>
      </c>
      <c r="G7" s="137">
        <v>2430370</v>
      </c>
      <c r="H7" s="137">
        <v>2438884</v>
      </c>
      <c r="I7" s="138">
        <f t="shared" ref="I7:I57" si="2">IFERROR(H7/G7-1,"-")</f>
        <v>3.5031702991725755E-3</v>
      </c>
      <c r="J7" s="137">
        <f t="shared" ref="J7:J57" si="3">IFERROR(H7-G7,"-")</f>
        <v>8514</v>
      </c>
      <c r="K7" s="138">
        <f t="shared" si="0"/>
        <v>0.77577877388678884</v>
      </c>
      <c r="L7" s="138">
        <f>H7/H6</f>
        <v>0.77577877388678884</v>
      </c>
      <c r="M7" s="137">
        <v>177784</v>
      </c>
      <c r="N7" s="137">
        <v>355886</v>
      </c>
      <c r="O7" s="137">
        <v>359300</v>
      </c>
      <c r="P7" s="137">
        <v>372261</v>
      </c>
      <c r="Q7" s="137">
        <v>373013</v>
      </c>
      <c r="R7" s="137">
        <v>366588</v>
      </c>
      <c r="S7" s="138">
        <f t="shared" ref="S7:S57" si="4">IFERROR(R7/Q7-1,"-")</f>
        <v>-1.7224600751180263E-2</v>
      </c>
      <c r="T7" s="137">
        <f t="shared" si="1"/>
        <v>-6425</v>
      </c>
      <c r="U7" s="138">
        <f t="shared" ref="U7:U57" si="5">IFERROR(P7/$P$6,"-")</f>
        <v>0.77425654848813852</v>
      </c>
      <c r="V7" s="138">
        <f>IFERROR(R7/R6,"-")</f>
        <v>0.75662220901289146</v>
      </c>
    </row>
    <row r="8" spans="1:22" x14ac:dyDescent="0.25">
      <c r="A8" s="108" t="s">
        <v>68</v>
      </c>
      <c r="B8" s="99" t="s">
        <v>63</v>
      </c>
      <c r="C8" s="53">
        <v>470647</v>
      </c>
      <c r="D8" s="53">
        <v>1737868</v>
      </c>
      <c r="E8" s="53">
        <v>1916365</v>
      </c>
      <c r="F8" s="53">
        <v>2034536</v>
      </c>
      <c r="G8" s="53">
        <v>1991559</v>
      </c>
      <c r="H8" s="53">
        <v>2001279</v>
      </c>
      <c r="I8" s="100">
        <f t="shared" si="2"/>
        <v>4.8805985662487839E-3</v>
      </c>
      <c r="J8" s="53">
        <f t="shared" si="3"/>
        <v>9720</v>
      </c>
      <c r="K8" s="100">
        <f t="shared" si="0"/>
        <v>0.63658204688102382</v>
      </c>
      <c r="L8" s="100">
        <f>H8/H6</f>
        <v>0.63658204688102382</v>
      </c>
      <c r="M8" s="53">
        <v>152798</v>
      </c>
      <c r="N8" s="53">
        <v>297248</v>
      </c>
      <c r="O8" s="53">
        <v>298735</v>
      </c>
      <c r="P8" s="53">
        <v>305073</v>
      </c>
      <c r="Q8" s="53">
        <v>306984</v>
      </c>
      <c r="R8" s="53">
        <v>305519</v>
      </c>
      <c r="S8" s="100">
        <f t="shared" si="4"/>
        <v>-4.7722356865503857E-3</v>
      </c>
      <c r="T8" s="53">
        <f t="shared" si="1"/>
        <v>-1465</v>
      </c>
      <c r="U8" s="100">
        <f t="shared" si="5"/>
        <v>0.63451387068997789</v>
      </c>
      <c r="V8" s="100">
        <f>IFERROR(R8/R6,"-")</f>
        <v>0.63057836229066311</v>
      </c>
    </row>
    <row r="9" spans="1:22" x14ac:dyDescent="0.25">
      <c r="A9" s="108" t="s">
        <v>69</v>
      </c>
      <c r="B9" s="99" t="s">
        <v>64</v>
      </c>
      <c r="C9" s="53">
        <v>107769</v>
      </c>
      <c r="D9" s="53">
        <v>373231</v>
      </c>
      <c r="E9" s="53">
        <v>435144</v>
      </c>
      <c r="F9" s="53">
        <v>441446</v>
      </c>
      <c r="G9" s="53">
        <v>438811</v>
      </c>
      <c r="H9" s="53">
        <v>437605</v>
      </c>
      <c r="I9" s="100">
        <f t="shared" si="2"/>
        <v>-2.7483358439054362E-3</v>
      </c>
      <c r="J9" s="53">
        <f t="shared" si="3"/>
        <v>-1206</v>
      </c>
      <c r="K9" s="100">
        <f t="shared" si="0"/>
        <v>0.13919672700576502</v>
      </c>
      <c r="L9" s="100">
        <f>H9/H6</f>
        <v>0.13919672700576502</v>
      </c>
      <c r="M9" s="53">
        <v>24986</v>
      </c>
      <c r="N9" s="53">
        <v>58638</v>
      </c>
      <c r="O9" s="53">
        <v>60565</v>
      </c>
      <c r="P9" s="53">
        <v>67188</v>
      </c>
      <c r="Q9" s="53">
        <v>66029</v>
      </c>
      <c r="R9" s="53">
        <v>61069</v>
      </c>
      <c r="S9" s="100">
        <f t="shared" si="4"/>
        <v>-7.5118508534128936E-2</v>
      </c>
      <c r="T9" s="53">
        <f t="shared" si="1"/>
        <v>-4960</v>
      </c>
      <c r="U9" s="100">
        <f t="shared" si="5"/>
        <v>0.13974267779816055</v>
      </c>
      <c r="V9" s="100">
        <f>IFERROR(R9/R6,"-")</f>
        <v>0.1260438467222284</v>
      </c>
    </row>
    <row r="10" spans="1:22" ht="16.5" thickBot="1" x14ac:dyDescent="0.3">
      <c r="A10" s="1"/>
      <c r="B10" s="139" t="s">
        <v>65</v>
      </c>
      <c r="C10" s="140">
        <v>167334</v>
      </c>
      <c r="D10" s="140">
        <v>547719</v>
      </c>
      <c r="E10" s="140">
        <v>626079</v>
      </c>
      <c r="F10" s="140">
        <v>693448</v>
      </c>
      <c r="G10" s="140">
        <v>721476</v>
      </c>
      <c r="H10" s="140">
        <v>704904</v>
      </c>
      <c r="I10" s="141">
        <f t="shared" si="2"/>
        <v>-2.2969579029655907E-2</v>
      </c>
      <c r="J10" s="140">
        <f t="shared" si="3"/>
        <v>-16572</v>
      </c>
      <c r="K10" s="141">
        <f t="shared" si="0"/>
        <v>0.22422122611321119</v>
      </c>
      <c r="L10" s="141">
        <f>H10/H6</f>
        <v>0.22422122611321119</v>
      </c>
      <c r="M10" s="140">
        <v>47180</v>
      </c>
      <c r="N10" s="140">
        <v>99531</v>
      </c>
      <c r="O10" s="140">
        <v>94890</v>
      </c>
      <c r="P10" s="140">
        <v>108537</v>
      </c>
      <c r="Q10" s="140">
        <v>112141</v>
      </c>
      <c r="R10" s="140">
        <v>117918</v>
      </c>
      <c r="S10" s="141">
        <f t="shared" si="4"/>
        <v>5.151550280450512E-2</v>
      </c>
      <c r="T10" s="140">
        <f t="shared" si="1"/>
        <v>5777</v>
      </c>
      <c r="U10" s="141">
        <f t="shared" si="5"/>
        <v>0.22574345151186154</v>
      </c>
      <c r="V10" s="141">
        <f>IFERROR(R10/R6,"-")</f>
        <v>0.24337779098710852</v>
      </c>
    </row>
    <row r="11" spans="1:22" ht="15.75" x14ac:dyDescent="0.25">
      <c r="A11" s="142">
        <f>G11/$G$11</f>
        <v>1</v>
      </c>
      <c r="B11" s="132" t="s">
        <v>46</v>
      </c>
      <c r="C11" s="133">
        <v>281997</v>
      </c>
      <c r="D11" s="133">
        <v>993053</v>
      </c>
      <c r="E11" s="133">
        <v>1080435</v>
      </c>
      <c r="F11" s="133">
        <v>1125743</v>
      </c>
      <c r="G11" s="133">
        <v>1073331</v>
      </c>
      <c r="H11" s="133">
        <v>1077606</v>
      </c>
      <c r="I11" s="134">
        <f t="shared" si="2"/>
        <v>3.9829279131973205E-3</v>
      </c>
      <c r="J11" s="133">
        <f t="shared" si="3"/>
        <v>4275</v>
      </c>
      <c r="K11" s="134">
        <f t="shared" si="0"/>
        <v>0.34277311319974502</v>
      </c>
      <c r="L11" s="135">
        <f>H11/H11</f>
        <v>1</v>
      </c>
      <c r="M11" s="133">
        <v>94144</v>
      </c>
      <c r="N11" s="133">
        <v>164843</v>
      </c>
      <c r="O11" s="133">
        <v>164390</v>
      </c>
      <c r="P11" s="133">
        <v>166795</v>
      </c>
      <c r="Q11" s="133">
        <v>155966</v>
      </c>
      <c r="R11" s="133">
        <v>163379</v>
      </c>
      <c r="S11" s="134">
        <f t="shared" si="4"/>
        <v>4.7529589782388415E-2</v>
      </c>
      <c r="T11" s="133">
        <f t="shared" si="1"/>
        <v>7413</v>
      </c>
      <c r="U11" s="134">
        <f t="shared" si="5"/>
        <v>0.34691284073561041</v>
      </c>
      <c r="V11" s="135">
        <f>IFERROR(R11/R11,"-")</f>
        <v>1</v>
      </c>
    </row>
    <row r="12" spans="1:22" ht="15.75" x14ac:dyDescent="0.25">
      <c r="A12" s="142">
        <f>G12/$G$11</f>
        <v>0.80154118347462244</v>
      </c>
      <c r="B12" s="136" t="s">
        <v>62</v>
      </c>
      <c r="C12" s="137">
        <v>232111</v>
      </c>
      <c r="D12" s="137">
        <v>852329</v>
      </c>
      <c r="E12" s="137">
        <v>885220</v>
      </c>
      <c r="F12" s="137">
        <v>915715</v>
      </c>
      <c r="G12" s="137">
        <v>860319</v>
      </c>
      <c r="H12" s="137">
        <v>874516</v>
      </c>
      <c r="I12" s="138">
        <f t="shared" si="2"/>
        <v>1.6502018437346999E-2</v>
      </c>
      <c r="J12" s="137">
        <f t="shared" si="3"/>
        <v>14197</v>
      </c>
      <c r="K12" s="138">
        <f t="shared" si="0"/>
        <v>0.27817270121267718</v>
      </c>
      <c r="L12" s="138">
        <f>H12/H11</f>
        <v>0.81153594170782273</v>
      </c>
      <c r="M12" s="137">
        <v>80931</v>
      </c>
      <c r="N12" s="137">
        <v>138653</v>
      </c>
      <c r="O12" s="137">
        <v>134072</v>
      </c>
      <c r="P12" s="137">
        <v>133668</v>
      </c>
      <c r="Q12" s="137">
        <v>125208</v>
      </c>
      <c r="R12" s="137">
        <v>127950</v>
      </c>
      <c r="S12" s="138">
        <f t="shared" si="4"/>
        <v>2.1899559133601754E-2</v>
      </c>
      <c r="T12" s="137">
        <f t="shared" si="1"/>
        <v>2742</v>
      </c>
      <c r="U12" s="138">
        <f t="shared" si="5"/>
        <v>0.27801280371382575</v>
      </c>
      <c r="V12" s="138">
        <f>IFERROR(R12/R11,"-")</f>
        <v>0.78314838504336548</v>
      </c>
    </row>
    <row r="13" spans="1:22" x14ac:dyDescent="0.25">
      <c r="A13" s="108" t="s">
        <v>68</v>
      </c>
      <c r="B13" s="99" t="s">
        <v>63</v>
      </c>
      <c r="C13" s="53">
        <v>222118</v>
      </c>
      <c r="D13" s="53">
        <v>761663</v>
      </c>
      <c r="E13" s="53">
        <v>788712</v>
      </c>
      <c r="F13" s="53">
        <v>825410</v>
      </c>
      <c r="G13" s="53">
        <v>767121</v>
      </c>
      <c r="H13" s="53">
        <v>786283</v>
      </c>
      <c r="I13" s="100">
        <f t="shared" si="2"/>
        <v>2.4979110205560762E-2</v>
      </c>
      <c r="J13" s="53">
        <f t="shared" si="3"/>
        <v>19162</v>
      </c>
      <c r="K13" s="100">
        <f t="shared" si="0"/>
        <v>0.25010687743575583</v>
      </c>
      <c r="L13" s="100">
        <f>H13/H11</f>
        <v>0.72965722165615265</v>
      </c>
      <c r="M13" s="53">
        <v>74597</v>
      </c>
      <c r="N13" s="53">
        <v>123042</v>
      </c>
      <c r="O13" s="53">
        <v>119355</v>
      </c>
      <c r="P13" s="53">
        <v>120238</v>
      </c>
      <c r="Q13" s="53">
        <v>110997</v>
      </c>
      <c r="R13" s="53">
        <v>116642</v>
      </c>
      <c r="S13" s="100">
        <f t="shared" si="4"/>
        <v>5.0857230375595641E-2</v>
      </c>
      <c r="T13" s="53">
        <f t="shared" si="1"/>
        <v>5645</v>
      </c>
      <c r="U13" s="100">
        <f t="shared" si="5"/>
        <v>0.25008007520829956</v>
      </c>
      <c r="V13" s="100">
        <f>IFERROR(R13/R11,"-")</f>
        <v>0.71393508345625811</v>
      </c>
    </row>
    <row r="14" spans="1:22" x14ac:dyDescent="0.25">
      <c r="A14" s="108" t="s">
        <v>69</v>
      </c>
      <c r="B14" s="99" t="s">
        <v>64</v>
      </c>
      <c r="C14" s="53">
        <v>9993</v>
      </c>
      <c r="D14" s="53">
        <v>90666</v>
      </c>
      <c r="E14" s="53">
        <v>96508</v>
      </c>
      <c r="F14" s="53">
        <v>90305</v>
      </c>
      <c r="G14" s="53">
        <v>93198</v>
      </c>
      <c r="H14" s="53">
        <v>88233</v>
      </c>
      <c r="I14" s="100">
        <f t="shared" si="2"/>
        <v>-5.3273675400759668E-2</v>
      </c>
      <c r="J14" s="53">
        <f t="shared" si="3"/>
        <v>-4965</v>
      </c>
      <c r="K14" s="100">
        <f t="shared" si="0"/>
        <v>2.8065823776921343E-2</v>
      </c>
      <c r="L14" s="100">
        <f>H14/H11</f>
        <v>8.1878720051670087E-2</v>
      </c>
      <c r="M14" s="53">
        <v>6334</v>
      </c>
      <c r="N14" s="53">
        <v>15611</v>
      </c>
      <c r="O14" s="53">
        <v>14717</v>
      </c>
      <c r="P14" s="53">
        <v>13430</v>
      </c>
      <c r="Q14" s="53">
        <v>14211</v>
      </c>
      <c r="R14" s="53">
        <v>11308</v>
      </c>
      <c r="S14" s="100">
        <f t="shared" si="4"/>
        <v>-0.2042783759059883</v>
      </c>
      <c r="T14" s="53">
        <f t="shared" si="1"/>
        <v>-2903</v>
      </c>
      <c r="U14" s="100">
        <f t="shared" si="5"/>
        <v>2.7932728505526229E-2</v>
      </c>
      <c r="V14" s="100">
        <f>IFERROR(R14/R11,"-")</f>
        <v>6.9213301587107284E-2</v>
      </c>
    </row>
    <row r="15" spans="1:22" ht="16.5" thickBot="1" x14ac:dyDescent="0.3">
      <c r="A15" s="142">
        <f>G15/$G$11</f>
        <v>0.19845881652537753</v>
      </c>
      <c r="B15" s="139" t="s">
        <v>65</v>
      </c>
      <c r="C15" s="140">
        <v>49886</v>
      </c>
      <c r="D15" s="140">
        <v>140724</v>
      </c>
      <c r="E15" s="140">
        <v>195215</v>
      </c>
      <c r="F15" s="140">
        <v>210028</v>
      </c>
      <c r="G15" s="140">
        <v>213012</v>
      </c>
      <c r="H15" s="140">
        <v>203090</v>
      </c>
      <c r="I15" s="141">
        <f t="shared" si="2"/>
        <v>-4.6579535425234297E-2</v>
      </c>
      <c r="J15" s="140">
        <f t="shared" si="3"/>
        <v>-9922</v>
      </c>
      <c r="K15" s="141">
        <f t="shared" si="0"/>
        <v>6.4600411987067827E-2</v>
      </c>
      <c r="L15" s="141">
        <f>H15/H11</f>
        <v>0.1884640582921773</v>
      </c>
      <c r="M15" s="140">
        <v>13213</v>
      </c>
      <c r="N15" s="140">
        <v>26190</v>
      </c>
      <c r="O15" s="140">
        <v>30318</v>
      </c>
      <c r="P15" s="140">
        <v>33127</v>
      </c>
      <c r="Q15" s="140">
        <v>30758</v>
      </c>
      <c r="R15" s="140">
        <v>35429</v>
      </c>
      <c r="S15" s="141">
        <f t="shared" si="4"/>
        <v>0.15186292996943895</v>
      </c>
      <c r="T15" s="140">
        <f t="shared" si="1"/>
        <v>4671</v>
      </c>
      <c r="U15" s="141">
        <f t="shared" si="5"/>
        <v>6.8900037021784613E-2</v>
      </c>
      <c r="V15" s="141">
        <f>IFERROR(R15/R11,"-")</f>
        <v>0.21685161495663458</v>
      </c>
    </row>
    <row r="16" spans="1:22" ht="15.75" x14ac:dyDescent="0.25">
      <c r="A16" s="142"/>
      <c r="B16" s="132" t="s">
        <v>47</v>
      </c>
      <c r="C16" s="133">
        <v>123433</v>
      </c>
      <c r="D16" s="133">
        <v>692851</v>
      </c>
      <c r="E16" s="133">
        <v>751128</v>
      </c>
      <c r="F16" s="133">
        <v>796018</v>
      </c>
      <c r="G16" s="133">
        <v>822258</v>
      </c>
      <c r="H16" s="133">
        <v>844127</v>
      </c>
      <c r="I16" s="134">
        <f t="shared" si="2"/>
        <v>2.6596275135055025E-2</v>
      </c>
      <c r="J16" s="133">
        <f t="shared" si="3"/>
        <v>21869</v>
      </c>
      <c r="K16" s="134">
        <f t="shared" si="0"/>
        <v>0.268506336941295</v>
      </c>
      <c r="L16" s="135">
        <f>H16/H16</f>
        <v>1</v>
      </c>
      <c r="M16" s="133">
        <v>42074</v>
      </c>
      <c r="N16" s="133">
        <v>119732</v>
      </c>
      <c r="O16" s="133">
        <v>113228</v>
      </c>
      <c r="P16" s="133">
        <v>121148</v>
      </c>
      <c r="Q16" s="133">
        <v>126014</v>
      </c>
      <c r="R16" s="133">
        <v>129184</v>
      </c>
      <c r="S16" s="134">
        <f t="shared" si="4"/>
        <v>2.5155935054835155E-2</v>
      </c>
      <c r="T16" s="133">
        <f t="shared" si="1"/>
        <v>3170</v>
      </c>
      <c r="U16" s="134">
        <f t="shared" si="5"/>
        <v>0.25197276194992491</v>
      </c>
      <c r="V16" s="135">
        <f>IFERROR(R16/R16,"-")</f>
        <v>1</v>
      </c>
    </row>
    <row r="17" spans="1:22" ht="15.75" x14ac:dyDescent="0.25">
      <c r="A17" s="1"/>
      <c r="B17" s="136" t="s">
        <v>62</v>
      </c>
      <c r="C17" s="137">
        <v>42517</v>
      </c>
      <c r="D17" s="137">
        <v>411014</v>
      </c>
      <c r="E17" s="137">
        <v>461805</v>
      </c>
      <c r="F17" s="137">
        <v>489126</v>
      </c>
      <c r="G17" s="137">
        <v>505218</v>
      </c>
      <c r="H17" s="137">
        <v>520334</v>
      </c>
      <c r="I17" s="138">
        <f t="shared" si="2"/>
        <v>2.9919757411652093E-2</v>
      </c>
      <c r="J17" s="137">
        <f t="shared" si="3"/>
        <v>15116</v>
      </c>
      <c r="K17" s="138">
        <f t="shared" si="0"/>
        <v>0.16551179659697154</v>
      </c>
      <c r="L17" s="138">
        <f>H17/H16</f>
        <v>0.61641672402375469</v>
      </c>
      <c r="M17" s="137">
        <v>18560</v>
      </c>
      <c r="N17" s="137">
        <v>71116</v>
      </c>
      <c r="O17" s="137">
        <v>70708</v>
      </c>
      <c r="P17" s="137">
        <v>76375</v>
      </c>
      <c r="Q17" s="137">
        <v>77493</v>
      </c>
      <c r="R17" s="137">
        <v>78892</v>
      </c>
      <c r="S17" s="138">
        <f t="shared" si="4"/>
        <v>1.8053243518769468E-2</v>
      </c>
      <c r="T17" s="137">
        <f t="shared" si="1"/>
        <v>1399</v>
      </c>
      <c r="U17" s="138">
        <f t="shared" si="5"/>
        <v>0.15885049438641591</v>
      </c>
      <c r="V17" s="138">
        <f>IFERROR(R17/R16,"-")</f>
        <v>0.61069482288828336</v>
      </c>
    </row>
    <row r="18" spans="1:22" x14ac:dyDescent="0.25">
      <c r="A18" s="108" t="s">
        <v>68</v>
      </c>
      <c r="B18" s="99" t="s">
        <v>63</v>
      </c>
      <c r="C18" s="53">
        <v>35251</v>
      </c>
      <c r="D18" s="53">
        <v>312053</v>
      </c>
      <c r="E18" s="53">
        <v>346764</v>
      </c>
      <c r="F18" s="53">
        <v>369017</v>
      </c>
      <c r="G18" s="53">
        <v>394443</v>
      </c>
      <c r="H18" s="53">
        <v>407990</v>
      </c>
      <c r="I18" s="100">
        <f t="shared" si="2"/>
        <v>3.4344632811331488E-2</v>
      </c>
      <c r="J18" s="53">
        <f t="shared" si="3"/>
        <v>13547</v>
      </c>
      <c r="K18" s="100">
        <f t="shared" si="0"/>
        <v>0.12977656254174899</v>
      </c>
      <c r="L18" s="100">
        <f>H18/H16</f>
        <v>0.48332774570651099</v>
      </c>
      <c r="M18" s="53">
        <v>15934</v>
      </c>
      <c r="N18" s="53">
        <v>54466</v>
      </c>
      <c r="O18" s="53">
        <v>54308</v>
      </c>
      <c r="P18" s="53">
        <v>57122</v>
      </c>
      <c r="Q18" s="53">
        <v>61726</v>
      </c>
      <c r="R18" s="53">
        <v>63410</v>
      </c>
      <c r="S18" s="100">
        <f t="shared" si="4"/>
        <v>2.7281858536111203E-2</v>
      </c>
      <c r="T18" s="53">
        <f t="shared" si="1"/>
        <v>1684</v>
      </c>
      <c r="U18" s="100">
        <f t="shared" si="5"/>
        <v>0.1188066506100275</v>
      </c>
      <c r="V18" s="100">
        <f>IFERROR(R18/R16,"-")</f>
        <v>0.4908502600941293</v>
      </c>
    </row>
    <row r="19" spans="1:22" x14ac:dyDescent="0.25">
      <c r="A19" s="108" t="s">
        <v>69</v>
      </c>
      <c r="B19" s="99" t="s">
        <v>64</v>
      </c>
      <c r="C19" s="53">
        <v>7266</v>
      </c>
      <c r="D19" s="53">
        <v>98961</v>
      </c>
      <c r="E19" s="53">
        <v>115041</v>
      </c>
      <c r="F19" s="53">
        <v>120109</v>
      </c>
      <c r="G19" s="53">
        <v>110775</v>
      </c>
      <c r="H19" s="53">
        <v>112344</v>
      </c>
      <c r="I19" s="100">
        <f t="shared" si="2"/>
        <v>1.4163845633039962E-2</v>
      </c>
      <c r="J19" s="53">
        <f t="shared" si="3"/>
        <v>1569</v>
      </c>
      <c r="K19" s="100">
        <f t="shared" si="0"/>
        <v>3.5735234055222553E-2</v>
      </c>
      <c r="L19" s="100">
        <f>H19/H16</f>
        <v>0.13308897831724373</v>
      </c>
      <c r="M19" s="53">
        <v>2626</v>
      </c>
      <c r="N19" s="53">
        <v>16650</v>
      </c>
      <c r="O19" s="53">
        <v>16400</v>
      </c>
      <c r="P19" s="53">
        <v>19253</v>
      </c>
      <c r="Q19" s="53">
        <v>15767</v>
      </c>
      <c r="R19" s="53">
        <v>15482</v>
      </c>
      <c r="S19" s="100">
        <f t="shared" si="4"/>
        <v>-1.8075727785881956E-2</v>
      </c>
      <c r="T19" s="53">
        <f t="shared" si="1"/>
        <v>-285</v>
      </c>
      <c r="U19" s="100">
        <f t="shared" si="5"/>
        <v>4.0043843776388421E-2</v>
      </c>
      <c r="V19" s="100">
        <f>IFERROR(R19/R16,"-")</f>
        <v>0.11984456279415408</v>
      </c>
    </row>
    <row r="20" spans="1:22" ht="16.5" thickBot="1" x14ac:dyDescent="0.3">
      <c r="A20" s="1"/>
      <c r="B20" s="139" t="s">
        <v>65</v>
      </c>
      <c r="C20" s="140">
        <v>80916</v>
      </c>
      <c r="D20" s="140">
        <v>281837</v>
      </c>
      <c r="E20" s="140">
        <v>289323</v>
      </c>
      <c r="F20" s="140">
        <v>306892</v>
      </c>
      <c r="G20" s="140">
        <v>317040</v>
      </c>
      <c r="H20" s="140">
        <v>323793</v>
      </c>
      <c r="I20" s="141">
        <f t="shared" si="2"/>
        <v>2.130015140045427E-2</v>
      </c>
      <c r="J20" s="140">
        <f t="shared" si="3"/>
        <v>6753</v>
      </c>
      <c r="K20" s="141">
        <f t="shared" si="0"/>
        <v>0.10299454034432347</v>
      </c>
      <c r="L20" s="141">
        <f>H20/H16</f>
        <v>0.38358327597624531</v>
      </c>
      <c r="M20" s="140">
        <v>23514</v>
      </c>
      <c r="N20" s="140">
        <v>48616</v>
      </c>
      <c r="O20" s="140">
        <v>42520</v>
      </c>
      <c r="P20" s="140">
        <v>44773</v>
      </c>
      <c r="Q20" s="140">
        <v>48521</v>
      </c>
      <c r="R20" s="140">
        <v>50292</v>
      </c>
      <c r="S20" s="141">
        <f t="shared" si="4"/>
        <v>3.6499659941056528E-2</v>
      </c>
      <c r="T20" s="140">
        <f t="shared" si="1"/>
        <v>1771</v>
      </c>
      <c r="U20" s="141">
        <f t="shared" si="5"/>
        <v>9.3122267563508998E-2</v>
      </c>
      <c r="V20" s="141">
        <f>IFERROR(R20/R16,"-")</f>
        <v>0.38930517711171664</v>
      </c>
    </row>
    <row r="21" spans="1:22" ht="15.75" x14ac:dyDescent="0.25">
      <c r="A21" s="1"/>
      <c r="B21" s="132" t="s">
        <v>48</v>
      </c>
      <c r="C21" s="133">
        <v>6896</v>
      </c>
      <c r="D21" s="133">
        <v>19165</v>
      </c>
      <c r="E21" s="133">
        <v>30291</v>
      </c>
      <c r="F21" s="133">
        <v>27053</v>
      </c>
      <c r="G21" s="133">
        <v>24470</v>
      </c>
      <c r="H21" s="133">
        <v>29731</v>
      </c>
      <c r="I21" s="134">
        <f t="shared" si="2"/>
        <v>0.21499795668165089</v>
      </c>
      <c r="J21" s="133">
        <f t="shared" si="3"/>
        <v>5261</v>
      </c>
      <c r="K21" s="134">
        <f t="shared" si="0"/>
        <v>9.4570626263603009E-3</v>
      </c>
      <c r="L21" s="135">
        <f>H21/H21</f>
        <v>1</v>
      </c>
      <c r="M21" s="133">
        <v>1838</v>
      </c>
      <c r="N21" s="133">
        <v>2342</v>
      </c>
      <c r="O21" s="133">
        <v>2845</v>
      </c>
      <c r="P21" s="133">
        <v>2508</v>
      </c>
      <c r="Q21" s="133">
        <v>2685</v>
      </c>
      <c r="R21" s="133">
        <v>3962</v>
      </c>
      <c r="S21" s="134">
        <f t="shared" si="4"/>
        <v>0.4756052141527003</v>
      </c>
      <c r="T21" s="133">
        <f t="shared" si="1"/>
        <v>1277</v>
      </c>
      <c r="U21" s="134">
        <f t="shared" si="5"/>
        <v>5.2163278549411602E-3</v>
      </c>
      <c r="V21" s="135">
        <f>IFERROR(R21/R21,"-")</f>
        <v>1</v>
      </c>
    </row>
    <row r="22" spans="1:22" ht="15.75" x14ac:dyDescent="0.25">
      <c r="A22" s="1"/>
      <c r="B22" s="136" t="s">
        <v>62</v>
      </c>
      <c r="C22" s="137">
        <v>6896</v>
      </c>
      <c r="D22" s="137">
        <v>19165</v>
      </c>
      <c r="E22" s="137">
        <v>29935</v>
      </c>
      <c r="F22" s="137">
        <v>26710</v>
      </c>
      <c r="G22" s="137">
        <v>24109</v>
      </c>
      <c r="H22" s="137">
        <v>29499</v>
      </c>
      <c r="I22" s="138">
        <f t="shared" si="2"/>
        <v>0.22356796217180297</v>
      </c>
      <c r="J22" s="137">
        <f t="shared" si="3"/>
        <v>5390</v>
      </c>
      <c r="K22" s="138">
        <f t="shared" si="0"/>
        <v>9.3832663016717409E-3</v>
      </c>
      <c r="L22" s="138">
        <f>H22/H21</f>
        <v>0.99219669705021696</v>
      </c>
      <c r="M22" s="137">
        <v>1838</v>
      </c>
      <c r="N22" s="137">
        <v>2342</v>
      </c>
      <c r="O22" s="137">
        <v>2810</v>
      </c>
      <c r="P22" s="137">
        <v>2458</v>
      </c>
      <c r="Q22" s="137">
        <v>2619</v>
      </c>
      <c r="R22" s="137">
        <v>3922</v>
      </c>
      <c r="S22" s="138">
        <f t="shared" si="4"/>
        <v>0.49751813669339451</v>
      </c>
      <c r="T22" s="137">
        <f t="shared" si="1"/>
        <v>1303</v>
      </c>
      <c r="U22" s="138">
        <f t="shared" si="5"/>
        <v>5.1123340779287768E-3</v>
      </c>
      <c r="V22" s="138">
        <f>IFERROR(R22/R21,"-")</f>
        <v>0.98990408884401815</v>
      </c>
    </row>
    <row r="23" spans="1:22" x14ac:dyDescent="0.25">
      <c r="A23" s="108" t="s">
        <v>68</v>
      </c>
      <c r="B23" s="99" t="s">
        <v>63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  <c r="H23" s="53">
        <v>0</v>
      </c>
      <c r="I23" s="100" t="str">
        <f t="shared" si="2"/>
        <v>-</v>
      </c>
      <c r="J23" s="53">
        <f t="shared" si="3"/>
        <v>0</v>
      </c>
      <c r="K23" s="100">
        <f t="shared" si="0"/>
        <v>0</v>
      </c>
      <c r="L23" s="100">
        <f>H23/H21</f>
        <v>0</v>
      </c>
      <c r="M23" s="53">
        <v>0</v>
      </c>
      <c r="N23" s="53">
        <v>0</v>
      </c>
      <c r="O23" s="53">
        <v>0</v>
      </c>
      <c r="P23" s="53">
        <v>0</v>
      </c>
      <c r="Q23" s="53">
        <v>0</v>
      </c>
      <c r="R23" s="53">
        <v>0</v>
      </c>
      <c r="S23" s="100" t="str">
        <f t="shared" si="4"/>
        <v>-</v>
      </c>
      <c r="T23" s="53">
        <f t="shared" si="1"/>
        <v>0</v>
      </c>
      <c r="U23" s="100">
        <f t="shared" si="5"/>
        <v>0</v>
      </c>
      <c r="V23" s="100">
        <f>IFERROR(R23/R21,"-")</f>
        <v>0</v>
      </c>
    </row>
    <row r="24" spans="1:22" x14ac:dyDescent="0.25">
      <c r="A24" s="108" t="s">
        <v>69</v>
      </c>
      <c r="B24" s="99" t="s">
        <v>64</v>
      </c>
      <c r="C24" s="53">
        <v>3463</v>
      </c>
      <c r="D24" s="53">
        <v>0</v>
      </c>
      <c r="E24" s="53">
        <v>0</v>
      </c>
      <c r="F24" s="53">
        <v>0</v>
      </c>
      <c r="G24" s="53">
        <v>0</v>
      </c>
      <c r="H24" s="53">
        <v>0</v>
      </c>
      <c r="I24" s="100" t="str">
        <f t="shared" si="2"/>
        <v>-</v>
      </c>
      <c r="J24" s="53">
        <f t="shared" si="3"/>
        <v>0</v>
      </c>
      <c r="K24" s="100">
        <f t="shared" si="0"/>
        <v>0</v>
      </c>
      <c r="L24" s="100">
        <f>H24/H21</f>
        <v>0</v>
      </c>
      <c r="M24" s="53">
        <v>0</v>
      </c>
      <c r="N24" s="53">
        <v>0</v>
      </c>
      <c r="O24" s="53">
        <v>0</v>
      </c>
      <c r="P24" s="53">
        <v>0</v>
      </c>
      <c r="Q24" s="53">
        <v>0</v>
      </c>
      <c r="R24" s="53">
        <v>0</v>
      </c>
      <c r="S24" s="100" t="str">
        <f t="shared" si="4"/>
        <v>-</v>
      </c>
      <c r="T24" s="53">
        <f t="shared" si="1"/>
        <v>0</v>
      </c>
      <c r="U24" s="100">
        <f t="shared" si="5"/>
        <v>0</v>
      </c>
      <c r="V24" s="100">
        <f>IFERROR(R24/R21,"-")</f>
        <v>0</v>
      </c>
    </row>
    <row r="25" spans="1:22" ht="16.5" thickBot="1" x14ac:dyDescent="0.3">
      <c r="A25" s="1"/>
      <c r="B25" s="139" t="s">
        <v>65</v>
      </c>
      <c r="C25" s="140">
        <v>0</v>
      </c>
      <c r="D25" s="140">
        <v>0</v>
      </c>
      <c r="E25" s="140">
        <v>0</v>
      </c>
      <c r="F25" s="140">
        <v>0</v>
      </c>
      <c r="G25" s="140">
        <v>0</v>
      </c>
      <c r="H25" s="140">
        <v>0</v>
      </c>
      <c r="I25" s="141" t="str">
        <f t="shared" si="2"/>
        <v>-</v>
      </c>
      <c r="J25" s="140">
        <f t="shared" si="3"/>
        <v>0</v>
      </c>
      <c r="K25" s="141">
        <f t="shared" si="0"/>
        <v>0</v>
      </c>
      <c r="L25" s="141">
        <f>H25/H21</f>
        <v>0</v>
      </c>
      <c r="M25" s="140">
        <v>0</v>
      </c>
      <c r="N25" s="140">
        <v>0</v>
      </c>
      <c r="O25" s="140">
        <v>0</v>
      </c>
      <c r="P25" s="140">
        <v>0</v>
      </c>
      <c r="Q25" s="140">
        <v>0</v>
      </c>
      <c r="R25" s="140">
        <v>0</v>
      </c>
      <c r="S25" s="141" t="str">
        <f t="shared" si="4"/>
        <v>-</v>
      </c>
      <c r="T25" s="140">
        <f t="shared" si="1"/>
        <v>0</v>
      </c>
      <c r="U25" s="141">
        <f t="shared" si="5"/>
        <v>0</v>
      </c>
      <c r="V25" s="141">
        <f>IFERROR(R25/R21,"-")</f>
        <v>0</v>
      </c>
    </row>
    <row r="26" spans="1:22" ht="15.75" x14ac:dyDescent="0.25">
      <c r="A26" s="1"/>
      <c r="B26" s="132" t="s">
        <v>49</v>
      </c>
      <c r="C26" s="133">
        <v>19378</v>
      </c>
      <c r="D26" s="133">
        <v>91869</v>
      </c>
      <c r="E26" s="133">
        <v>103711</v>
      </c>
      <c r="F26" s="133">
        <v>133707</v>
      </c>
      <c r="G26" s="133">
        <v>111695</v>
      </c>
      <c r="H26" s="133">
        <v>111055</v>
      </c>
      <c r="I26" s="134">
        <f t="shared" si="2"/>
        <v>-5.729889431039914E-3</v>
      </c>
      <c r="J26" s="133">
        <f t="shared" si="3"/>
        <v>-640</v>
      </c>
      <c r="K26" s="134">
        <f t="shared" si="0"/>
        <v>3.532521913055206E-2</v>
      </c>
      <c r="L26" s="135">
        <f>H26/H26</f>
        <v>1</v>
      </c>
      <c r="M26" s="133">
        <v>2379</v>
      </c>
      <c r="N26" s="133">
        <v>24503</v>
      </c>
      <c r="O26" s="133">
        <v>17055</v>
      </c>
      <c r="P26" s="133">
        <v>16852</v>
      </c>
      <c r="Q26" s="133">
        <v>17502</v>
      </c>
      <c r="R26" s="133">
        <v>17086</v>
      </c>
      <c r="S26" s="134">
        <f t="shared" si="4"/>
        <v>-2.3768712147183124E-2</v>
      </c>
      <c r="T26" s="133">
        <f t="shared" si="1"/>
        <v>-416</v>
      </c>
      <c r="U26" s="134">
        <f t="shared" si="5"/>
        <v>3.5050062604253758E-2</v>
      </c>
      <c r="V26" s="135">
        <f>IFERROR(R26/R26,"-")</f>
        <v>1</v>
      </c>
    </row>
    <row r="27" spans="1:22" ht="15.75" x14ac:dyDescent="0.25">
      <c r="A27" s="1"/>
      <c r="B27" s="136" t="s">
        <v>62</v>
      </c>
      <c r="C27" s="137">
        <v>18908</v>
      </c>
      <c r="D27" s="137">
        <v>85891</v>
      </c>
      <c r="E27" s="137">
        <v>98742</v>
      </c>
      <c r="F27" s="137">
        <v>110305</v>
      </c>
      <c r="G27" s="137">
        <v>89955</v>
      </c>
      <c r="H27" s="137">
        <v>91550</v>
      </c>
      <c r="I27" s="138">
        <f t="shared" si="2"/>
        <v>1.7731087766105214E-2</v>
      </c>
      <c r="J27" s="137">
        <f t="shared" si="3"/>
        <v>1595</v>
      </c>
      <c r="K27" s="138">
        <f t="shared" si="0"/>
        <v>2.9120920367403907E-2</v>
      </c>
      <c r="L27" s="138">
        <f>H27/H26</f>
        <v>0.82436630498401697</v>
      </c>
      <c r="M27" s="137">
        <v>2305</v>
      </c>
      <c r="N27" s="137">
        <v>23736</v>
      </c>
      <c r="O27" s="137">
        <v>16301</v>
      </c>
      <c r="P27" s="137">
        <v>13444</v>
      </c>
      <c r="Q27" s="137">
        <v>14555</v>
      </c>
      <c r="R27" s="137">
        <v>14318</v>
      </c>
      <c r="S27" s="138">
        <f t="shared" si="4"/>
        <v>-1.6283064239093092E-2</v>
      </c>
      <c r="T27" s="137">
        <f t="shared" si="1"/>
        <v>-237</v>
      </c>
      <c r="U27" s="138">
        <f t="shared" si="5"/>
        <v>2.7961846763089698E-2</v>
      </c>
      <c r="V27" s="138">
        <f>IFERROR(R27/R26,"-")</f>
        <v>0.83799602013344254</v>
      </c>
    </row>
    <row r="28" spans="1:22" x14ac:dyDescent="0.25">
      <c r="A28" s="108" t="s">
        <v>68</v>
      </c>
      <c r="B28" s="99" t="s">
        <v>63</v>
      </c>
      <c r="C28" s="53">
        <v>18908</v>
      </c>
      <c r="D28" s="53">
        <v>0</v>
      </c>
      <c r="E28" s="53">
        <v>30811</v>
      </c>
      <c r="F28" s="53">
        <v>0</v>
      </c>
      <c r="G28" s="53">
        <v>0</v>
      </c>
      <c r="H28" s="53">
        <v>0</v>
      </c>
      <c r="I28" s="100" t="str">
        <f t="shared" si="2"/>
        <v>-</v>
      </c>
      <c r="J28" s="53">
        <f t="shared" si="3"/>
        <v>0</v>
      </c>
      <c r="K28" s="100">
        <f t="shared" si="0"/>
        <v>0</v>
      </c>
      <c r="L28" s="100">
        <f>H28/H26</f>
        <v>0</v>
      </c>
      <c r="M28" s="53">
        <v>2305</v>
      </c>
      <c r="N28" s="53">
        <v>0</v>
      </c>
      <c r="O28" s="53">
        <v>16301</v>
      </c>
      <c r="P28" s="53">
        <v>0</v>
      </c>
      <c r="Q28" s="53">
        <v>0</v>
      </c>
      <c r="R28" s="53">
        <v>0</v>
      </c>
      <c r="S28" s="100" t="str">
        <f t="shared" si="4"/>
        <v>-</v>
      </c>
      <c r="T28" s="53">
        <f t="shared" si="1"/>
        <v>0</v>
      </c>
      <c r="U28" s="100">
        <f t="shared" si="5"/>
        <v>0</v>
      </c>
      <c r="V28" s="100">
        <f>IFERROR(R28/R26,"-")</f>
        <v>0</v>
      </c>
    </row>
    <row r="29" spans="1:22" ht="15.75" thickBot="1" x14ac:dyDescent="0.3">
      <c r="A29" s="108" t="s">
        <v>69</v>
      </c>
      <c r="B29" s="99" t="s">
        <v>64</v>
      </c>
      <c r="C29" s="53">
        <v>0</v>
      </c>
      <c r="D29" s="53">
        <v>0</v>
      </c>
      <c r="E29" s="53">
        <v>0</v>
      </c>
      <c r="F29" s="53">
        <v>0</v>
      </c>
      <c r="G29" s="53">
        <v>0</v>
      </c>
      <c r="H29" s="53">
        <v>0</v>
      </c>
      <c r="I29" s="100" t="str">
        <f t="shared" si="2"/>
        <v>-</v>
      </c>
      <c r="J29" s="53">
        <f t="shared" si="3"/>
        <v>0</v>
      </c>
      <c r="K29" s="100">
        <f t="shared" si="0"/>
        <v>0</v>
      </c>
      <c r="L29" s="100">
        <f>H29/H26</f>
        <v>0</v>
      </c>
      <c r="M29" s="53">
        <v>0</v>
      </c>
      <c r="N29" s="53">
        <v>0</v>
      </c>
      <c r="O29" s="53">
        <v>0</v>
      </c>
      <c r="P29" s="53">
        <v>0</v>
      </c>
      <c r="Q29" s="53">
        <v>0</v>
      </c>
      <c r="R29" s="53">
        <v>0</v>
      </c>
      <c r="S29" s="100" t="str">
        <f t="shared" si="4"/>
        <v>-</v>
      </c>
      <c r="T29" s="53">
        <f t="shared" si="1"/>
        <v>0</v>
      </c>
      <c r="U29" s="100">
        <f t="shared" si="5"/>
        <v>0</v>
      </c>
      <c r="V29" s="100">
        <f>IFERROR(R29/R26,"-")</f>
        <v>0</v>
      </c>
    </row>
    <row r="30" spans="1:22" ht="15.75" x14ac:dyDescent="0.25">
      <c r="A30" s="1"/>
      <c r="B30" s="132" t="s">
        <v>50</v>
      </c>
      <c r="C30" s="133">
        <v>111657</v>
      </c>
      <c r="D30" s="133">
        <v>395281</v>
      </c>
      <c r="E30" s="133">
        <v>455709</v>
      </c>
      <c r="F30" s="133">
        <v>526281</v>
      </c>
      <c r="G30" s="133">
        <v>537778</v>
      </c>
      <c r="H30" s="133">
        <v>519145</v>
      </c>
      <c r="I30" s="134">
        <f t="shared" si="2"/>
        <v>-3.4648126178460248E-2</v>
      </c>
      <c r="J30" s="133">
        <f t="shared" si="3"/>
        <v>-18633</v>
      </c>
      <c r="K30" s="134">
        <f t="shared" si="0"/>
        <v>0.16513359043294268</v>
      </c>
      <c r="L30" s="135">
        <f>H30/H30</f>
        <v>1</v>
      </c>
      <c r="M30" s="133">
        <v>41575</v>
      </c>
      <c r="N30" s="133">
        <v>73949</v>
      </c>
      <c r="O30" s="133">
        <v>76772</v>
      </c>
      <c r="P30" s="133">
        <v>90048</v>
      </c>
      <c r="Q30" s="133">
        <v>93840</v>
      </c>
      <c r="R30" s="133">
        <v>87554</v>
      </c>
      <c r="S30" s="134">
        <f t="shared" si="4"/>
        <v>-6.6986359761295855E-2</v>
      </c>
      <c r="T30" s="133">
        <f t="shared" si="1"/>
        <v>-6286</v>
      </c>
      <c r="U30" s="134">
        <f t="shared" si="5"/>
        <v>0.18728863264822232</v>
      </c>
      <c r="V30" s="135">
        <f>IFERROR(R30/R30,"-")</f>
        <v>1</v>
      </c>
    </row>
    <row r="31" spans="1:22" ht="15.75" x14ac:dyDescent="0.25">
      <c r="A31" s="1"/>
      <c r="B31" s="136" t="s">
        <v>62</v>
      </c>
      <c r="C31" s="137">
        <v>85300</v>
      </c>
      <c r="D31" s="137">
        <v>319384</v>
      </c>
      <c r="E31" s="137">
        <v>370229</v>
      </c>
      <c r="F31" s="137">
        <v>426511</v>
      </c>
      <c r="G31" s="137">
        <v>425473</v>
      </c>
      <c r="H31" s="137">
        <v>417256</v>
      </c>
      <c r="I31" s="138">
        <f t="shared" si="2"/>
        <v>-1.931262383276966E-2</v>
      </c>
      <c r="J31" s="137">
        <f t="shared" si="3"/>
        <v>-8217</v>
      </c>
      <c r="K31" s="138">
        <f t="shared" si="0"/>
        <v>0.13272396230280159</v>
      </c>
      <c r="L31" s="138">
        <f>H31/H30</f>
        <v>0.80373691357905785</v>
      </c>
      <c r="M31" s="137">
        <v>34096</v>
      </c>
      <c r="N31" s="137">
        <v>58059</v>
      </c>
      <c r="O31" s="137">
        <v>63711</v>
      </c>
      <c r="P31" s="137">
        <v>71595</v>
      </c>
      <c r="Q31" s="137">
        <v>73870</v>
      </c>
      <c r="R31" s="137">
        <v>67987</v>
      </c>
      <c r="S31" s="138">
        <f t="shared" si="4"/>
        <v>-7.9639907946392308E-2</v>
      </c>
      <c r="T31" s="137">
        <f t="shared" si="1"/>
        <v>-5883</v>
      </c>
      <c r="U31" s="138">
        <f t="shared" si="5"/>
        <v>0.14890868930403206</v>
      </c>
      <c r="V31" s="138">
        <f>IFERROR(R31/R30,"-")</f>
        <v>0.77651506498846423</v>
      </c>
    </row>
    <row r="32" spans="1:22" x14ac:dyDescent="0.25">
      <c r="A32" s="108" t="s">
        <v>68</v>
      </c>
      <c r="B32" s="99" t="s">
        <v>63</v>
      </c>
      <c r="C32" s="53">
        <v>58520</v>
      </c>
      <c r="D32" s="53">
        <v>259864</v>
      </c>
      <c r="E32" s="53">
        <v>308795</v>
      </c>
      <c r="F32" s="53">
        <v>358799</v>
      </c>
      <c r="G32" s="53">
        <v>352298</v>
      </c>
      <c r="H32" s="53">
        <v>345436</v>
      </c>
      <c r="I32" s="100">
        <f t="shared" si="2"/>
        <v>-1.9477828429341093E-2</v>
      </c>
      <c r="J32" s="53">
        <f t="shared" si="3"/>
        <v>-6862</v>
      </c>
      <c r="K32" s="100">
        <f t="shared" si="0"/>
        <v>0.10987891040998948</v>
      </c>
      <c r="L32" s="100">
        <f>H32/H30</f>
        <v>0.66539406138939983</v>
      </c>
      <c r="M32" s="53">
        <v>27521</v>
      </c>
      <c r="N32" s="53">
        <v>49808</v>
      </c>
      <c r="O32" s="53">
        <v>52374</v>
      </c>
      <c r="P32" s="53">
        <v>60327</v>
      </c>
      <c r="Q32" s="53">
        <v>60437</v>
      </c>
      <c r="R32" s="53">
        <v>55789</v>
      </c>
      <c r="S32" s="100">
        <f t="shared" si="4"/>
        <v>-7.6906530767576142E-2</v>
      </c>
      <c r="T32" s="53">
        <f t="shared" si="1"/>
        <v>-4648</v>
      </c>
      <c r="U32" s="100">
        <f t="shared" si="5"/>
        <v>0.12547265171652128</v>
      </c>
      <c r="V32" s="100">
        <f>IFERROR(R32/R30,"-")</f>
        <v>0.63719533088151314</v>
      </c>
    </row>
    <row r="33" spans="1:22" x14ac:dyDescent="0.25">
      <c r="A33" s="108" t="s">
        <v>69</v>
      </c>
      <c r="B33" s="99" t="s">
        <v>64</v>
      </c>
      <c r="C33" s="53">
        <v>26780</v>
      </c>
      <c r="D33" s="53">
        <v>59520</v>
      </c>
      <c r="E33" s="53">
        <v>61434</v>
      </c>
      <c r="F33" s="53">
        <v>67712</v>
      </c>
      <c r="G33" s="53">
        <v>73175</v>
      </c>
      <c r="H33" s="53">
        <v>71820</v>
      </c>
      <c r="I33" s="100">
        <f t="shared" si="2"/>
        <v>-1.8517253160232339E-2</v>
      </c>
      <c r="J33" s="53">
        <f t="shared" si="3"/>
        <v>-1355</v>
      </c>
      <c r="K33" s="100">
        <f t="shared" si="0"/>
        <v>2.2845051892812111E-2</v>
      </c>
      <c r="L33" s="100">
        <f>H33/H30</f>
        <v>0.138342852189658</v>
      </c>
      <c r="M33" s="53">
        <v>6575</v>
      </c>
      <c r="N33" s="53">
        <v>8251</v>
      </c>
      <c r="O33" s="53">
        <v>11337</v>
      </c>
      <c r="P33" s="53">
        <v>11268</v>
      </c>
      <c r="Q33" s="53">
        <v>13433</v>
      </c>
      <c r="R33" s="53">
        <v>12198</v>
      </c>
      <c r="S33" s="100">
        <f t="shared" si="4"/>
        <v>-9.1937765205091893E-2</v>
      </c>
      <c r="T33" s="53">
        <f t="shared" si="1"/>
        <v>-1235</v>
      </c>
      <c r="U33" s="100">
        <f t="shared" si="5"/>
        <v>2.3436037587510762E-2</v>
      </c>
      <c r="V33" s="100">
        <f>IFERROR(R33/R30,"-")</f>
        <v>0.13931973410695114</v>
      </c>
    </row>
    <row r="34" spans="1:22" ht="16.5" thickBot="1" x14ac:dyDescent="0.3">
      <c r="A34" s="1"/>
      <c r="B34" s="139" t="s">
        <v>65</v>
      </c>
      <c r="C34" s="140">
        <v>26357</v>
      </c>
      <c r="D34" s="140">
        <v>75897</v>
      </c>
      <c r="E34" s="140">
        <v>85480</v>
      </c>
      <c r="F34" s="140">
        <v>99770</v>
      </c>
      <c r="G34" s="140">
        <v>112305</v>
      </c>
      <c r="H34" s="140">
        <v>101889</v>
      </c>
      <c r="I34" s="141">
        <f t="shared" si="2"/>
        <v>-9.2747428876719606E-2</v>
      </c>
      <c r="J34" s="140">
        <f t="shared" si="3"/>
        <v>-10416</v>
      </c>
      <c r="K34" s="141">
        <f t="shared" si="0"/>
        <v>3.2409628130141088E-2</v>
      </c>
      <c r="L34" s="141">
        <f>H34/H30</f>
        <v>0.19626308642094212</v>
      </c>
      <c r="M34" s="140">
        <v>7479</v>
      </c>
      <c r="N34" s="140">
        <v>15890</v>
      </c>
      <c r="O34" s="140">
        <v>13061</v>
      </c>
      <c r="P34" s="140">
        <v>18453</v>
      </c>
      <c r="Q34" s="140">
        <v>19970</v>
      </c>
      <c r="R34" s="140">
        <v>19567</v>
      </c>
      <c r="S34" s="141">
        <f t="shared" si="4"/>
        <v>-2.0180270405608436E-2</v>
      </c>
      <c r="T34" s="140">
        <f t="shared" si="1"/>
        <v>-403</v>
      </c>
      <c r="U34" s="141">
        <f t="shared" si="5"/>
        <v>3.8379943344190287E-2</v>
      </c>
      <c r="V34" s="141">
        <f>IFERROR(R34/R30,"-")</f>
        <v>0.22348493501153574</v>
      </c>
    </row>
    <row r="35" spans="1:22" ht="15.75" x14ac:dyDescent="0.25">
      <c r="A35" s="1"/>
      <c r="B35" s="132" t="s">
        <v>51</v>
      </c>
      <c r="C35" s="133">
        <v>14230</v>
      </c>
      <c r="D35" s="133">
        <v>28946</v>
      </c>
      <c r="E35" s="133">
        <v>35023</v>
      </c>
      <c r="F35" s="133">
        <v>33791</v>
      </c>
      <c r="G35" s="133">
        <v>31909</v>
      </c>
      <c r="H35" s="133">
        <v>31112</v>
      </c>
      <c r="I35" s="134">
        <f t="shared" si="2"/>
        <v>-2.4977279137547437E-2</v>
      </c>
      <c r="J35" s="133">
        <f t="shared" si="3"/>
        <v>-797</v>
      </c>
      <c r="K35" s="134">
        <f t="shared" si="0"/>
        <v>9.8963416108210859E-3</v>
      </c>
      <c r="L35" s="135">
        <f>H35/H35</f>
        <v>1</v>
      </c>
      <c r="M35" s="133">
        <v>2428</v>
      </c>
      <c r="N35" s="133">
        <v>4275</v>
      </c>
      <c r="O35" s="133">
        <v>4340</v>
      </c>
      <c r="P35" s="133">
        <v>4593</v>
      </c>
      <c r="Q35" s="133">
        <v>3637</v>
      </c>
      <c r="R35" s="133">
        <v>3086</v>
      </c>
      <c r="S35" s="134">
        <f t="shared" si="4"/>
        <v>-0.15149848776464114</v>
      </c>
      <c r="T35" s="133">
        <f t="shared" si="1"/>
        <v>-551</v>
      </c>
      <c r="U35" s="134">
        <f t="shared" si="5"/>
        <v>9.5528683563575554E-3</v>
      </c>
      <c r="V35" s="135">
        <f>IFERROR(R35/R35,"-")</f>
        <v>1</v>
      </c>
    </row>
    <row r="36" spans="1:22" ht="15.75" x14ac:dyDescent="0.25">
      <c r="A36" s="1"/>
      <c r="B36" s="136" t="s">
        <v>62</v>
      </c>
      <c r="C36" s="137">
        <v>14230</v>
      </c>
      <c r="D36" s="137">
        <v>28946</v>
      </c>
      <c r="E36" s="137">
        <v>35023</v>
      </c>
      <c r="F36" s="137">
        <v>33791</v>
      </c>
      <c r="G36" s="137">
        <v>31909</v>
      </c>
      <c r="H36" s="137">
        <v>31112</v>
      </c>
      <c r="I36" s="138">
        <f t="shared" si="2"/>
        <v>-2.4977279137547437E-2</v>
      </c>
      <c r="J36" s="137">
        <f t="shared" si="3"/>
        <v>-797</v>
      </c>
      <c r="K36" s="138">
        <f t="shared" si="0"/>
        <v>9.8963416108210859E-3</v>
      </c>
      <c r="L36" s="138">
        <f>H36/H35</f>
        <v>1</v>
      </c>
      <c r="M36" s="137">
        <v>2428</v>
      </c>
      <c r="N36" s="137">
        <v>4275</v>
      </c>
      <c r="O36" s="137">
        <v>4340</v>
      </c>
      <c r="P36" s="137">
        <v>4593</v>
      </c>
      <c r="Q36" s="137">
        <v>3637</v>
      </c>
      <c r="R36" s="137">
        <v>3086</v>
      </c>
      <c r="S36" s="138">
        <f t="shared" si="4"/>
        <v>-0.15149848776464114</v>
      </c>
      <c r="T36" s="137">
        <f t="shared" si="1"/>
        <v>-551</v>
      </c>
      <c r="U36" s="138">
        <f t="shared" si="5"/>
        <v>9.5528683563575554E-3</v>
      </c>
      <c r="V36" s="138">
        <f>IFERROR(R36/R35,"-")</f>
        <v>1</v>
      </c>
    </row>
    <row r="37" spans="1:22" x14ac:dyDescent="0.25">
      <c r="A37" s="108" t="s">
        <v>68</v>
      </c>
      <c r="B37" s="99" t="s">
        <v>63</v>
      </c>
      <c r="C37" s="53">
        <v>0</v>
      </c>
      <c r="D37" s="53">
        <v>14735</v>
      </c>
      <c r="E37" s="53">
        <v>30513</v>
      </c>
      <c r="F37" s="53">
        <v>29212</v>
      </c>
      <c r="G37" s="53">
        <v>26934</v>
      </c>
      <c r="H37" s="53">
        <v>25835</v>
      </c>
      <c r="I37" s="100">
        <f t="shared" si="2"/>
        <v>-4.0803445459270837E-2</v>
      </c>
      <c r="J37" s="53">
        <f t="shared" si="3"/>
        <v>-1099</v>
      </c>
      <c r="K37" s="100">
        <f t="shared" si="0"/>
        <v>8.217793311762752E-3</v>
      </c>
      <c r="L37" s="100">
        <f>H37/H35</f>
        <v>0.83038698894317309</v>
      </c>
      <c r="M37" s="53">
        <v>0</v>
      </c>
      <c r="N37" s="53">
        <v>3890</v>
      </c>
      <c r="O37" s="53">
        <v>3839</v>
      </c>
      <c r="P37" s="53">
        <v>3932</v>
      </c>
      <c r="Q37" s="53">
        <v>3156</v>
      </c>
      <c r="R37" s="53">
        <v>2532</v>
      </c>
      <c r="S37" s="100">
        <f t="shared" si="4"/>
        <v>-0.19771863117870725</v>
      </c>
      <c r="T37" s="53">
        <f t="shared" si="1"/>
        <v>-624</v>
      </c>
      <c r="U37" s="100">
        <f t="shared" si="5"/>
        <v>8.1780706242538439E-3</v>
      </c>
      <c r="V37" s="100">
        <f>IFERROR(R37/R35,"-")</f>
        <v>0.82047958522359044</v>
      </c>
    </row>
    <row r="38" spans="1:22" ht="15.75" thickBot="1" x14ac:dyDescent="0.3">
      <c r="A38" s="108" t="s">
        <v>69</v>
      </c>
      <c r="B38" s="99" t="s">
        <v>64</v>
      </c>
      <c r="C38" s="53">
        <v>0</v>
      </c>
      <c r="D38" s="53">
        <v>1767</v>
      </c>
      <c r="E38" s="53">
        <v>4510</v>
      </c>
      <c r="F38" s="53">
        <v>4579</v>
      </c>
      <c r="G38" s="53">
        <v>4975</v>
      </c>
      <c r="H38" s="53">
        <v>5277</v>
      </c>
      <c r="I38" s="100">
        <f t="shared" si="2"/>
        <v>6.0703517587939793E-2</v>
      </c>
      <c r="J38" s="53">
        <f t="shared" si="3"/>
        <v>302</v>
      </c>
      <c r="K38" s="100">
        <f t="shared" si="0"/>
        <v>1.6785482990583334E-3</v>
      </c>
      <c r="L38" s="100">
        <f>H38/H35</f>
        <v>0.16961301105682694</v>
      </c>
      <c r="M38" s="53">
        <v>0</v>
      </c>
      <c r="N38" s="53">
        <v>385</v>
      </c>
      <c r="O38" s="53">
        <v>501</v>
      </c>
      <c r="P38" s="53">
        <v>661</v>
      </c>
      <c r="Q38" s="53">
        <v>481</v>
      </c>
      <c r="R38" s="53">
        <v>554</v>
      </c>
      <c r="S38" s="100">
        <f t="shared" si="4"/>
        <v>0.15176715176715172</v>
      </c>
      <c r="T38" s="53">
        <f t="shared" si="1"/>
        <v>73</v>
      </c>
      <c r="U38" s="100">
        <f t="shared" si="5"/>
        <v>1.3747977321037109E-3</v>
      </c>
      <c r="V38" s="100">
        <f>IFERROR(R38/R35,"-")</f>
        <v>0.17952041477640959</v>
      </c>
    </row>
    <row r="39" spans="1:22" ht="15.75" x14ac:dyDescent="0.25">
      <c r="A39" s="1"/>
      <c r="B39" s="132" t="s">
        <v>52</v>
      </c>
      <c r="C39" s="133">
        <v>43336</v>
      </c>
      <c r="D39" s="133">
        <v>107595</v>
      </c>
      <c r="E39" s="133">
        <v>148504</v>
      </c>
      <c r="F39" s="133">
        <v>138865</v>
      </c>
      <c r="G39" s="133">
        <v>151159</v>
      </c>
      <c r="H39" s="133">
        <v>132836</v>
      </c>
      <c r="I39" s="134">
        <f t="shared" si="2"/>
        <v>-0.12121673205035755</v>
      </c>
      <c r="J39" s="133">
        <f t="shared" si="3"/>
        <v>-18323</v>
      </c>
      <c r="K39" s="134">
        <f t="shared" si="0"/>
        <v>4.2253485285903503E-2</v>
      </c>
      <c r="L39" s="135">
        <f>H39/H39</f>
        <v>1</v>
      </c>
      <c r="M39" s="133">
        <v>10658</v>
      </c>
      <c r="N39" s="133">
        <v>15515</v>
      </c>
      <c r="O39" s="133">
        <v>21748</v>
      </c>
      <c r="P39" s="133">
        <v>20589</v>
      </c>
      <c r="Q39" s="133">
        <v>22582</v>
      </c>
      <c r="R39" s="133">
        <v>21393</v>
      </c>
      <c r="S39" s="134">
        <f t="shared" si="4"/>
        <v>-5.2652555132406298E-2</v>
      </c>
      <c r="T39" s="133">
        <f t="shared" si="1"/>
        <v>-1189</v>
      </c>
      <c r="U39" s="134">
        <f t="shared" si="5"/>
        <v>4.282255749815931E-2</v>
      </c>
      <c r="V39" s="135">
        <f>IFERROR(R39/R39,"-")</f>
        <v>1</v>
      </c>
    </row>
    <row r="40" spans="1:22" ht="15.75" x14ac:dyDescent="0.25">
      <c r="A40" s="1"/>
      <c r="B40" s="136" t="s">
        <v>62</v>
      </c>
      <c r="C40" s="137">
        <v>40119</v>
      </c>
      <c r="D40" s="137">
        <v>91892</v>
      </c>
      <c r="E40" s="137">
        <v>130179</v>
      </c>
      <c r="F40" s="137">
        <v>120964</v>
      </c>
      <c r="G40" s="137">
        <v>131872</v>
      </c>
      <c r="H40" s="137">
        <v>113182</v>
      </c>
      <c r="I40" s="138">
        <f t="shared" si="2"/>
        <v>-0.14172834263528267</v>
      </c>
      <c r="J40" s="137">
        <f t="shared" si="3"/>
        <v>-18690</v>
      </c>
      <c r="K40" s="138">
        <f t="shared" si="0"/>
        <v>3.6001791469399337E-2</v>
      </c>
      <c r="L40" s="138">
        <f>H40/H39</f>
        <v>0.85204312084073597</v>
      </c>
      <c r="M40" s="137">
        <v>9745</v>
      </c>
      <c r="N40" s="137">
        <v>12286</v>
      </c>
      <c r="O40" s="137">
        <v>18317</v>
      </c>
      <c r="P40" s="137">
        <v>17239</v>
      </c>
      <c r="Q40" s="137">
        <v>19276</v>
      </c>
      <c r="R40" s="137">
        <v>18104</v>
      </c>
      <c r="S40" s="138">
        <f t="shared" si="4"/>
        <v>-6.0800996057273293E-2</v>
      </c>
      <c r="T40" s="137">
        <f t="shared" si="1"/>
        <v>-1172</v>
      </c>
      <c r="U40" s="138">
        <f t="shared" si="5"/>
        <v>3.5854974438329613E-2</v>
      </c>
      <c r="V40" s="138">
        <f>IFERROR(R40/R39,"-")</f>
        <v>0.84625812181554716</v>
      </c>
    </row>
    <row r="41" spans="1:22" x14ac:dyDescent="0.25">
      <c r="A41" s="108" t="s">
        <v>68</v>
      </c>
      <c r="B41" s="99" t="s">
        <v>63</v>
      </c>
      <c r="C41" s="53">
        <v>0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100" t="str">
        <f t="shared" si="2"/>
        <v>-</v>
      </c>
      <c r="J41" s="53">
        <f t="shared" si="3"/>
        <v>0</v>
      </c>
      <c r="K41" s="100">
        <f t="shared" si="0"/>
        <v>0</v>
      </c>
      <c r="L41" s="100">
        <f>H41/H39</f>
        <v>0</v>
      </c>
      <c r="M41" s="53">
        <v>0</v>
      </c>
      <c r="N41" s="53">
        <v>0</v>
      </c>
      <c r="O41" s="53">
        <v>0</v>
      </c>
      <c r="P41" s="53">
        <v>0</v>
      </c>
      <c r="Q41" s="53">
        <v>0</v>
      </c>
      <c r="R41" s="53">
        <v>0</v>
      </c>
      <c r="S41" s="100" t="str">
        <f t="shared" si="4"/>
        <v>-</v>
      </c>
      <c r="T41" s="53">
        <f t="shared" si="1"/>
        <v>0</v>
      </c>
      <c r="U41" s="100">
        <f t="shared" si="5"/>
        <v>0</v>
      </c>
      <c r="V41" s="100">
        <f>IFERROR(R41/R39,"-")</f>
        <v>0</v>
      </c>
    </row>
    <row r="42" spans="1:22" x14ac:dyDescent="0.25">
      <c r="A42" s="108" t="s">
        <v>69</v>
      </c>
      <c r="B42" s="99" t="s">
        <v>64</v>
      </c>
      <c r="C42" s="53">
        <v>0</v>
      </c>
      <c r="D42" s="53">
        <v>0</v>
      </c>
      <c r="E42" s="53">
        <v>0</v>
      </c>
      <c r="F42" s="53">
        <v>0</v>
      </c>
      <c r="G42" s="53">
        <v>0</v>
      </c>
      <c r="H42" s="53">
        <v>0</v>
      </c>
      <c r="I42" s="100" t="str">
        <f t="shared" si="2"/>
        <v>-</v>
      </c>
      <c r="J42" s="53">
        <f t="shared" si="3"/>
        <v>0</v>
      </c>
      <c r="K42" s="100">
        <f t="shared" si="0"/>
        <v>0</v>
      </c>
      <c r="L42" s="100">
        <f>H42/H39</f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100" t="str">
        <f t="shared" si="4"/>
        <v>-</v>
      </c>
      <c r="T42" s="53">
        <f t="shared" si="1"/>
        <v>0</v>
      </c>
      <c r="U42" s="100">
        <f t="shared" si="5"/>
        <v>0</v>
      </c>
      <c r="V42" s="100">
        <f>IFERROR(R42/R39,"-")</f>
        <v>0</v>
      </c>
    </row>
    <row r="43" spans="1:22" ht="16.5" thickBot="1" x14ac:dyDescent="0.3">
      <c r="A43" s="1"/>
      <c r="B43" s="139" t="s">
        <v>65</v>
      </c>
      <c r="C43" s="140">
        <v>1292</v>
      </c>
      <c r="D43" s="140">
        <v>15703</v>
      </c>
      <c r="E43" s="140">
        <v>18325</v>
      </c>
      <c r="F43" s="140">
        <v>17901</v>
      </c>
      <c r="G43" s="140">
        <v>19287</v>
      </c>
      <c r="H43" s="140">
        <v>19654</v>
      </c>
      <c r="I43" s="141">
        <f t="shared" si="2"/>
        <v>1.9028361072224831E-2</v>
      </c>
      <c r="J43" s="140">
        <f t="shared" si="3"/>
        <v>367</v>
      </c>
      <c r="K43" s="141">
        <f t="shared" si="0"/>
        <v>6.2516938165041664E-3</v>
      </c>
      <c r="L43" s="141">
        <f>H43/H39</f>
        <v>0.14795687915926406</v>
      </c>
      <c r="M43" s="140">
        <v>913</v>
      </c>
      <c r="N43" s="140">
        <v>3229</v>
      </c>
      <c r="O43" s="140">
        <v>3431</v>
      </c>
      <c r="P43" s="140">
        <v>3350</v>
      </c>
      <c r="Q43" s="140">
        <v>3306</v>
      </c>
      <c r="R43" s="140">
        <v>3289</v>
      </c>
      <c r="S43" s="141">
        <f t="shared" si="4"/>
        <v>-5.1421657592256587E-3</v>
      </c>
      <c r="T43" s="140">
        <f t="shared" si="1"/>
        <v>-17</v>
      </c>
      <c r="U43" s="141">
        <f t="shared" si="5"/>
        <v>6.9675830598296996E-3</v>
      </c>
      <c r="V43" s="141">
        <f>IFERROR(R43/R39,"-")</f>
        <v>0.15374187818445287</v>
      </c>
    </row>
    <row r="44" spans="1:22" ht="15.75" x14ac:dyDescent="0.25">
      <c r="A44" s="1"/>
      <c r="B44" s="132" t="s">
        <v>53</v>
      </c>
      <c r="C44" s="133">
        <v>73201</v>
      </c>
      <c r="D44" s="133">
        <v>122504</v>
      </c>
      <c r="E44" s="133">
        <v>144321</v>
      </c>
      <c r="F44" s="133">
        <v>146578</v>
      </c>
      <c r="G44" s="133">
        <v>164634</v>
      </c>
      <c r="H44" s="133">
        <v>168537</v>
      </c>
      <c r="I44" s="134">
        <f t="shared" si="2"/>
        <v>2.3707132184117574E-2</v>
      </c>
      <c r="J44" s="133">
        <f t="shared" si="3"/>
        <v>3903</v>
      </c>
      <c r="K44" s="134">
        <f t="shared" si="0"/>
        <v>5.3609530922568573E-2</v>
      </c>
      <c r="L44" s="135">
        <f>H44/H44</f>
        <v>1</v>
      </c>
      <c r="M44" s="133">
        <v>14398</v>
      </c>
      <c r="N44" s="133">
        <v>18083</v>
      </c>
      <c r="O44" s="133">
        <v>17745</v>
      </c>
      <c r="P44" s="133">
        <v>21632</v>
      </c>
      <c r="Q44" s="133">
        <v>23873</v>
      </c>
      <c r="R44" s="133">
        <v>21827</v>
      </c>
      <c r="S44" s="134">
        <f t="shared" si="4"/>
        <v>-8.570351443052826E-2</v>
      </c>
      <c r="T44" s="133">
        <f t="shared" si="1"/>
        <v>-2046</v>
      </c>
      <c r="U44" s="134">
        <f t="shared" si="5"/>
        <v>4.4991867686637634E-2</v>
      </c>
      <c r="V44" s="135">
        <f>IFERROR(R44/R44,"-")</f>
        <v>1</v>
      </c>
    </row>
    <row r="45" spans="1:22" ht="15.75" x14ac:dyDescent="0.25">
      <c r="A45" s="1"/>
      <c r="B45" s="136" t="s">
        <v>62</v>
      </c>
      <c r="C45" s="137">
        <v>73201</v>
      </c>
      <c r="D45" s="137">
        <v>122504</v>
      </c>
      <c r="E45" s="137">
        <v>144321</v>
      </c>
      <c r="F45" s="137">
        <v>146578</v>
      </c>
      <c r="G45" s="137">
        <v>164634</v>
      </c>
      <c r="H45" s="137">
        <v>168537</v>
      </c>
      <c r="I45" s="138">
        <f t="shared" si="2"/>
        <v>2.3707132184117574E-2</v>
      </c>
      <c r="J45" s="137">
        <f t="shared" si="3"/>
        <v>3903</v>
      </c>
      <c r="K45" s="138">
        <f t="shared" si="0"/>
        <v>5.3609530922568573E-2</v>
      </c>
      <c r="L45" s="138">
        <f>H45/H44</f>
        <v>1</v>
      </c>
      <c r="M45" s="137">
        <v>14398</v>
      </c>
      <c r="N45" s="137">
        <v>18083</v>
      </c>
      <c r="O45" s="137">
        <v>17745</v>
      </c>
      <c r="P45" s="137">
        <v>21632</v>
      </c>
      <c r="Q45" s="137">
        <v>23873</v>
      </c>
      <c r="R45" s="137">
        <v>21827</v>
      </c>
      <c r="S45" s="138">
        <f t="shared" si="4"/>
        <v>-8.570351443052826E-2</v>
      </c>
      <c r="T45" s="137">
        <f t="shared" si="1"/>
        <v>-2046</v>
      </c>
      <c r="U45" s="138">
        <f t="shared" si="5"/>
        <v>4.4991867686637634E-2</v>
      </c>
      <c r="V45" s="138">
        <f>IFERROR(R45/R44,"-")</f>
        <v>1</v>
      </c>
    </row>
    <row r="46" spans="1:22" x14ac:dyDescent="0.25">
      <c r="A46" s="108" t="s">
        <v>68</v>
      </c>
      <c r="B46" s="99" t="s">
        <v>63</v>
      </c>
      <c r="C46" s="53">
        <v>44870</v>
      </c>
      <c r="D46" s="53">
        <v>74963</v>
      </c>
      <c r="E46" s="53">
        <v>85636</v>
      </c>
      <c r="F46" s="53">
        <v>85012</v>
      </c>
      <c r="G46" s="53">
        <v>108263</v>
      </c>
      <c r="H46" s="53">
        <v>110536</v>
      </c>
      <c r="I46" s="100">
        <f t="shared" si="2"/>
        <v>2.0995169171369676E-2</v>
      </c>
      <c r="J46" s="53">
        <f t="shared" si="3"/>
        <v>2273</v>
      </c>
      <c r="K46" s="100">
        <f t="shared" si="0"/>
        <v>3.5160131662822044E-2</v>
      </c>
      <c r="L46" s="100">
        <f>H46/H44</f>
        <v>0.65585598414591451</v>
      </c>
      <c r="M46" s="53">
        <v>10003</v>
      </c>
      <c r="N46" s="53">
        <v>10838</v>
      </c>
      <c r="O46" s="53">
        <v>10063</v>
      </c>
      <c r="P46" s="53">
        <v>12572</v>
      </c>
      <c r="Q46" s="53">
        <v>16611</v>
      </c>
      <c r="R46" s="53">
        <v>15545</v>
      </c>
      <c r="S46" s="100">
        <f t="shared" si="4"/>
        <v>-6.4174342303292997E-2</v>
      </c>
      <c r="T46" s="53">
        <f t="shared" si="1"/>
        <v>-1066</v>
      </c>
      <c r="U46" s="100">
        <f t="shared" si="5"/>
        <v>2.6148195291993727E-2</v>
      </c>
      <c r="V46" s="100">
        <f>IFERROR(R46/R44,"-")</f>
        <v>0.71219132267375274</v>
      </c>
    </row>
    <row r="47" spans="1:22" ht="15.75" thickBot="1" x14ac:dyDescent="0.3">
      <c r="A47" s="108" t="s">
        <v>69</v>
      </c>
      <c r="B47" s="99" t="s">
        <v>64</v>
      </c>
      <c r="C47" s="53">
        <v>28331</v>
      </c>
      <c r="D47" s="53">
        <v>47541</v>
      </c>
      <c r="E47" s="53">
        <v>58685</v>
      </c>
      <c r="F47" s="53">
        <v>61566</v>
      </c>
      <c r="G47" s="53">
        <v>56371</v>
      </c>
      <c r="H47" s="53">
        <v>58001</v>
      </c>
      <c r="I47" s="100">
        <f t="shared" si="2"/>
        <v>2.8915577158467931E-2</v>
      </c>
      <c r="J47" s="53">
        <f t="shared" si="3"/>
        <v>1630</v>
      </c>
      <c r="K47" s="100">
        <f t="shared" si="0"/>
        <v>1.8449399259746521E-2</v>
      </c>
      <c r="L47" s="100">
        <f>H47/H44</f>
        <v>0.34414401585408544</v>
      </c>
      <c r="M47" s="53">
        <v>4395</v>
      </c>
      <c r="N47" s="53">
        <v>7245</v>
      </c>
      <c r="O47" s="53">
        <v>7682</v>
      </c>
      <c r="P47" s="53">
        <v>9060</v>
      </c>
      <c r="Q47" s="53">
        <v>7262</v>
      </c>
      <c r="R47" s="53">
        <v>6282</v>
      </c>
      <c r="S47" s="100">
        <f t="shared" si="4"/>
        <v>-0.13494904984852663</v>
      </c>
      <c r="T47" s="53">
        <f t="shared" si="1"/>
        <v>-980</v>
      </c>
      <c r="U47" s="100">
        <f t="shared" si="5"/>
        <v>1.8843672394643903E-2</v>
      </c>
      <c r="V47" s="100">
        <f>IFERROR(R47/R44,"-")</f>
        <v>0.28780867732624732</v>
      </c>
    </row>
    <row r="48" spans="1:22" ht="15.75" x14ac:dyDescent="0.25">
      <c r="A48" s="1"/>
      <c r="B48" s="132" t="s">
        <v>54</v>
      </c>
      <c r="C48" s="133">
        <v>44078</v>
      </c>
      <c r="D48" s="133">
        <v>145637</v>
      </c>
      <c r="E48" s="133">
        <v>159812</v>
      </c>
      <c r="F48" s="133">
        <v>167855</v>
      </c>
      <c r="G48" s="133">
        <v>164017</v>
      </c>
      <c r="H48" s="133">
        <v>168720</v>
      </c>
      <c r="I48" s="134">
        <f t="shared" si="2"/>
        <v>2.8673856978240098E-2</v>
      </c>
      <c r="J48" s="133">
        <f t="shared" si="3"/>
        <v>4703</v>
      </c>
      <c r="K48" s="134">
        <f t="shared" si="0"/>
        <v>5.3667740954542735E-2</v>
      </c>
      <c r="L48" s="135">
        <f>H48/H48</f>
        <v>1</v>
      </c>
      <c r="M48" s="133">
        <v>10219</v>
      </c>
      <c r="N48" s="133">
        <v>23111</v>
      </c>
      <c r="O48" s="133">
        <v>26451</v>
      </c>
      <c r="P48" s="133">
        <v>24893</v>
      </c>
      <c r="Q48" s="133">
        <v>27952</v>
      </c>
      <c r="R48" s="133">
        <v>27459</v>
      </c>
      <c r="S48" s="134">
        <f t="shared" si="4"/>
        <v>-1.7637378362907796E-2</v>
      </c>
      <c r="T48" s="133">
        <f t="shared" si="1"/>
        <v>-493</v>
      </c>
      <c r="U48" s="134">
        <f t="shared" si="5"/>
        <v>5.1774341823385292E-2</v>
      </c>
      <c r="V48" s="135">
        <f>IFERROR(R48/R48,"-")</f>
        <v>1</v>
      </c>
    </row>
    <row r="49" spans="1:22" ht="15.75" x14ac:dyDescent="0.25">
      <c r="A49" s="1"/>
      <c r="B49" s="136" t="s">
        <v>62</v>
      </c>
      <c r="C49" s="137">
        <v>35882</v>
      </c>
      <c r="D49" s="137">
        <v>119890</v>
      </c>
      <c r="E49" s="137">
        <v>132625</v>
      </c>
      <c r="F49" s="137">
        <v>139053</v>
      </c>
      <c r="G49" s="137">
        <v>133356</v>
      </c>
      <c r="H49" s="137">
        <v>138660</v>
      </c>
      <c r="I49" s="138">
        <f t="shared" si="2"/>
        <v>3.9773238549446699E-2</v>
      </c>
      <c r="J49" s="137">
        <f t="shared" si="3"/>
        <v>5304</v>
      </c>
      <c r="K49" s="138">
        <f t="shared" si="0"/>
        <v>4.4106027505671504E-2</v>
      </c>
      <c r="L49" s="138">
        <f>H49/H48</f>
        <v>0.82183499288762452</v>
      </c>
      <c r="M49" s="137">
        <v>8286</v>
      </c>
      <c r="N49" s="137">
        <v>18743</v>
      </c>
      <c r="O49" s="137">
        <v>22420</v>
      </c>
      <c r="P49" s="137">
        <v>20528</v>
      </c>
      <c r="Q49" s="137">
        <v>22688</v>
      </c>
      <c r="R49" s="137">
        <v>22196</v>
      </c>
      <c r="S49" s="138">
        <f t="shared" si="4"/>
        <v>-2.1685472496473901E-2</v>
      </c>
      <c r="T49" s="137">
        <f t="shared" si="1"/>
        <v>-492</v>
      </c>
      <c r="U49" s="138">
        <f t="shared" si="5"/>
        <v>4.2695685090204202E-2</v>
      </c>
      <c r="V49" s="138">
        <f>IFERROR(R49/R48,"-")</f>
        <v>0.8083324228850286</v>
      </c>
    </row>
    <row r="50" spans="1:22" x14ac:dyDescent="0.25">
      <c r="A50" s="108" t="s">
        <v>68</v>
      </c>
      <c r="B50" s="99" t="s">
        <v>63</v>
      </c>
      <c r="C50" s="53">
        <v>5496</v>
      </c>
      <c r="D50" s="53">
        <v>91426</v>
      </c>
      <c r="E50" s="53">
        <v>105459</v>
      </c>
      <c r="F50" s="53">
        <v>108534</v>
      </c>
      <c r="G50" s="53">
        <v>104064</v>
      </c>
      <c r="H50" s="53">
        <v>110145</v>
      </c>
      <c r="I50" s="100">
        <f t="shared" si="2"/>
        <v>5.8435193726937174E-2</v>
      </c>
      <c r="J50" s="53">
        <f t="shared" si="3"/>
        <v>6081</v>
      </c>
      <c r="K50" s="100">
        <f t="shared" si="0"/>
        <v>3.5035759408713313E-2</v>
      </c>
      <c r="L50" s="100">
        <f>H50/H48</f>
        <v>0.65282716927453766</v>
      </c>
      <c r="M50" s="53">
        <v>5496</v>
      </c>
      <c r="N50" s="53">
        <v>13798</v>
      </c>
      <c r="O50" s="53">
        <v>17801</v>
      </c>
      <c r="P50" s="53">
        <v>15688</v>
      </c>
      <c r="Q50" s="53">
        <v>17978</v>
      </c>
      <c r="R50" s="53">
        <v>17204</v>
      </c>
      <c r="S50" s="100">
        <f t="shared" si="4"/>
        <v>-4.3052619868728437E-2</v>
      </c>
      <c r="T50" s="53">
        <f t="shared" si="1"/>
        <v>-774</v>
      </c>
      <c r="U50" s="100">
        <f t="shared" si="5"/>
        <v>3.2629087475405473E-2</v>
      </c>
      <c r="V50" s="100">
        <f>IFERROR(R50/R48,"-")</f>
        <v>0.62653410539349574</v>
      </c>
    </row>
    <row r="51" spans="1:22" x14ac:dyDescent="0.25">
      <c r="A51" s="108" t="s">
        <v>69</v>
      </c>
      <c r="B51" s="99" t="s">
        <v>64</v>
      </c>
      <c r="C51" s="53">
        <v>2790</v>
      </c>
      <c r="D51" s="53">
        <v>28464</v>
      </c>
      <c r="E51" s="53">
        <v>27166</v>
      </c>
      <c r="F51" s="53">
        <v>30519</v>
      </c>
      <c r="G51" s="53">
        <v>29292</v>
      </c>
      <c r="H51" s="53">
        <v>28515</v>
      </c>
      <c r="I51" s="100">
        <f t="shared" si="2"/>
        <v>-2.6526013928717784E-2</v>
      </c>
      <c r="J51" s="53">
        <f t="shared" si="3"/>
        <v>-777</v>
      </c>
      <c r="K51" s="100">
        <f t="shared" si="0"/>
        <v>9.0702680969581926E-3</v>
      </c>
      <c r="L51" s="100">
        <f>H51/H48</f>
        <v>0.16900782361308678</v>
      </c>
      <c r="M51" s="53">
        <v>2790</v>
      </c>
      <c r="N51" s="53">
        <v>4945</v>
      </c>
      <c r="O51" s="53">
        <v>4619</v>
      </c>
      <c r="P51" s="53">
        <v>4840</v>
      </c>
      <c r="Q51" s="53">
        <v>4710</v>
      </c>
      <c r="R51" s="53">
        <v>4992</v>
      </c>
      <c r="S51" s="100">
        <f t="shared" si="4"/>
        <v>5.987261146496814E-2</v>
      </c>
      <c r="T51" s="53">
        <f t="shared" si="1"/>
        <v>282</v>
      </c>
      <c r="U51" s="100">
        <f t="shared" si="5"/>
        <v>1.0066597614798731E-2</v>
      </c>
      <c r="V51" s="100">
        <f>IFERROR(R51/R48,"-")</f>
        <v>0.18179831749153283</v>
      </c>
    </row>
    <row r="52" spans="1:22" ht="16.5" thickBot="1" x14ac:dyDescent="0.3">
      <c r="B52" s="139" t="s">
        <v>65</v>
      </c>
      <c r="C52" s="140">
        <v>8196</v>
      </c>
      <c r="D52" s="140">
        <v>25747</v>
      </c>
      <c r="E52" s="140">
        <v>27187</v>
      </c>
      <c r="F52" s="140">
        <v>28802</v>
      </c>
      <c r="G52" s="140">
        <v>30661</v>
      </c>
      <c r="H52" s="140">
        <v>30060</v>
      </c>
      <c r="I52" s="141">
        <f t="shared" si="2"/>
        <v>-1.9601448093669482E-2</v>
      </c>
      <c r="J52" s="140">
        <f t="shared" si="3"/>
        <v>-601</v>
      </c>
      <c r="K52" s="141">
        <f t="shared" si="0"/>
        <v>9.5617134488712348E-3</v>
      </c>
      <c r="L52" s="141">
        <f>H52/H48</f>
        <v>0.17816500711237554</v>
      </c>
      <c r="M52" s="140">
        <v>1933</v>
      </c>
      <c r="N52" s="140">
        <v>4368</v>
      </c>
      <c r="O52" s="140">
        <v>4031</v>
      </c>
      <c r="P52" s="140">
        <v>4365</v>
      </c>
      <c r="Q52" s="140">
        <v>5264</v>
      </c>
      <c r="R52" s="140">
        <v>5263</v>
      </c>
      <c r="S52" s="141">
        <f t="shared" si="4"/>
        <v>-1.899696048631716E-4</v>
      </c>
      <c r="T52" s="140">
        <f t="shared" si="1"/>
        <v>-1</v>
      </c>
      <c r="U52" s="141">
        <f t="shared" si="5"/>
        <v>9.0786567331810862E-3</v>
      </c>
      <c r="V52" s="141">
        <f>IFERROR(R52/R48,"-")</f>
        <v>0.1916675771149714</v>
      </c>
    </row>
    <row r="53" spans="1:22" ht="15.75" x14ac:dyDescent="0.25">
      <c r="B53" s="132" t="s">
        <v>55</v>
      </c>
      <c r="C53" s="133">
        <f t="shared" ref="C53:H56" si="6">C6-C11-C16-C21-C26-C30-C35-C39-C44-C48</f>
        <v>27544</v>
      </c>
      <c r="D53" s="133">
        <f t="shared" si="6"/>
        <v>61917</v>
      </c>
      <c r="E53" s="133">
        <f t="shared" si="6"/>
        <v>68654</v>
      </c>
      <c r="F53" s="133">
        <f t="shared" si="6"/>
        <v>73539</v>
      </c>
      <c r="G53" s="133">
        <f t="shared" si="6"/>
        <v>70595</v>
      </c>
      <c r="H53" s="133">
        <f t="shared" si="6"/>
        <v>60919</v>
      </c>
      <c r="I53" s="134">
        <f t="shared" si="2"/>
        <v>-0.13706353141157301</v>
      </c>
      <c r="J53" s="133">
        <f t="shared" si="3"/>
        <v>-9676</v>
      </c>
      <c r="K53" s="134">
        <f t="shared" si="0"/>
        <v>1.9377578895269018E-2</v>
      </c>
      <c r="L53" s="135">
        <f>H53/H53</f>
        <v>1</v>
      </c>
      <c r="M53" s="133">
        <v>5251</v>
      </c>
      <c r="N53" s="133">
        <v>9064</v>
      </c>
      <c r="O53" s="133">
        <v>9616</v>
      </c>
      <c r="P53" s="133">
        <v>11740</v>
      </c>
      <c r="Q53" s="133">
        <v>11103</v>
      </c>
      <c r="R53" s="133">
        <v>9576</v>
      </c>
      <c r="S53" s="134">
        <f t="shared" si="4"/>
        <v>-0.13753039718994864</v>
      </c>
      <c r="T53" s="133">
        <f t="shared" si="1"/>
        <v>-1527</v>
      </c>
      <c r="U53" s="134">
        <f t="shared" si="5"/>
        <v>2.4417738842507666E-2</v>
      </c>
      <c r="V53" s="135">
        <f>IFERROR(R53/R53,"-")</f>
        <v>1</v>
      </c>
    </row>
    <row r="54" spans="1:22" ht="15.75" x14ac:dyDescent="0.25">
      <c r="B54" s="136" t="s">
        <v>62</v>
      </c>
      <c r="C54" s="137">
        <f t="shared" si="6"/>
        <v>29252</v>
      </c>
      <c r="D54" s="137">
        <f t="shared" si="6"/>
        <v>60084</v>
      </c>
      <c r="E54" s="137">
        <f t="shared" si="6"/>
        <v>63430</v>
      </c>
      <c r="F54" s="137">
        <f t="shared" si="6"/>
        <v>67229</v>
      </c>
      <c r="G54" s="137">
        <f t="shared" si="6"/>
        <v>63525</v>
      </c>
      <c r="H54" s="137">
        <f t="shared" si="6"/>
        <v>54238</v>
      </c>
      <c r="I54" s="138">
        <f t="shared" si="2"/>
        <v>-0.14619441164895708</v>
      </c>
      <c r="J54" s="137">
        <f t="shared" si="3"/>
        <v>-9287</v>
      </c>
      <c r="K54" s="138">
        <f t="shared" si="0"/>
        <v>1.725243559680233E-2</v>
      </c>
      <c r="L54" s="138">
        <f>H54/H53</f>
        <v>0.89032978216976644</v>
      </c>
      <c r="M54" s="137">
        <v>5197</v>
      </c>
      <c r="N54" s="137">
        <v>8593</v>
      </c>
      <c r="O54" s="137">
        <v>8876</v>
      </c>
      <c r="P54" s="137">
        <v>10729</v>
      </c>
      <c r="Q54" s="137">
        <v>9794</v>
      </c>
      <c r="R54" s="137">
        <v>8306</v>
      </c>
      <c r="S54" s="138">
        <f t="shared" si="4"/>
        <v>-0.15192975290994482</v>
      </c>
      <c r="T54" s="137">
        <f t="shared" si="1"/>
        <v>-1488</v>
      </c>
      <c r="U54" s="138">
        <f t="shared" si="5"/>
        <v>2.2314984671317269E-2</v>
      </c>
      <c r="V54" s="138">
        <f>IFERROR(R54/R53,"-")</f>
        <v>0.86737677527151213</v>
      </c>
    </row>
    <row r="55" spans="1:22" x14ac:dyDescent="0.25">
      <c r="B55" s="99" t="s">
        <v>63</v>
      </c>
      <c r="C55" s="53">
        <f t="shared" si="6"/>
        <v>85484</v>
      </c>
      <c r="D55" s="53">
        <f t="shared" si="6"/>
        <v>223164</v>
      </c>
      <c r="E55" s="53">
        <f t="shared" si="6"/>
        <v>219675</v>
      </c>
      <c r="F55" s="53">
        <f t="shared" si="6"/>
        <v>258552</v>
      </c>
      <c r="G55" s="53">
        <f t="shared" si="6"/>
        <v>238436</v>
      </c>
      <c r="H55" s="53">
        <f t="shared" si="6"/>
        <v>215054</v>
      </c>
      <c r="I55" s="100">
        <f t="shared" si="2"/>
        <v>-9.8064050730594321E-2</v>
      </c>
      <c r="J55" s="53">
        <f t="shared" si="3"/>
        <v>-23382</v>
      </c>
      <c r="K55" s="100">
        <f t="shared" si="0"/>
        <v>6.8406012110231354E-2</v>
      </c>
      <c r="L55" s="100">
        <f>H55/H53</f>
        <v>3.5301630033322935</v>
      </c>
      <c r="M55" s="53" t="e">
        <v>#REF!</v>
      </c>
      <c r="N55" s="53" t="e">
        <v>#REF!</v>
      </c>
      <c r="O55" s="53" t="e">
        <v>#REF!</v>
      </c>
      <c r="P55" s="53" t="e">
        <v>#REF!</v>
      </c>
      <c r="Q55" s="53" t="e">
        <v>#REF!</v>
      </c>
      <c r="R55" s="53" t="e">
        <v>#REF!</v>
      </c>
      <c r="S55" s="100" t="str">
        <f t="shared" si="4"/>
        <v>-</v>
      </c>
      <c r="T55" s="53" t="e">
        <f t="shared" si="1"/>
        <v>#REF!</v>
      </c>
      <c r="U55" s="100" t="str">
        <f t="shared" si="5"/>
        <v>-</v>
      </c>
      <c r="V55" s="100" t="str">
        <f>IFERROR(R55/R53,"-")</f>
        <v>-</v>
      </c>
    </row>
    <row r="56" spans="1:22" x14ac:dyDescent="0.25">
      <c r="B56" s="99" t="s">
        <v>64</v>
      </c>
      <c r="C56" s="53">
        <f t="shared" si="6"/>
        <v>29146</v>
      </c>
      <c r="D56" s="53">
        <f t="shared" si="6"/>
        <v>46312</v>
      </c>
      <c r="E56" s="53">
        <f t="shared" si="6"/>
        <v>71800</v>
      </c>
      <c r="F56" s="53">
        <f t="shared" si="6"/>
        <v>66656</v>
      </c>
      <c r="G56" s="53">
        <f t="shared" si="6"/>
        <v>71025</v>
      </c>
      <c r="H56" s="53">
        <f t="shared" si="6"/>
        <v>73415</v>
      </c>
      <c r="I56" s="100">
        <f t="shared" si="2"/>
        <v>3.3650123196057757E-2</v>
      </c>
      <c r="J56" s="53">
        <f t="shared" si="3"/>
        <v>2390</v>
      </c>
      <c r="K56" s="100">
        <f t="shared" si="0"/>
        <v>2.3352401625045965E-2</v>
      </c>
      <c r="L56" s="100">
        <f>H56/H53</f>
        <v>1.2051248378995059</v>
      </c>
      <c r="M56" s="53" t="e">
        <v>#REF!</v>
      </c>
      <c r="N56" s="53" t="e">
        <v>#REF!</v>
      </c>
      <c r="O56" s="53" t="e">
        <v>#REF!</v>
      </c>
      <c r="P56" s="53" t="e">
        <v>#REF!</v>
      </c>
      <c r="Q56" s="53" t="e">
        <v>#REF!</v>
      </c>
      <c r="R56" s="53" t="e">
        <v>#REF!</v>
      </c>
      <c r="S56" s="100" t="str">
        <f t="shared" si="4"/>
        <v>-</v>
      </c>
      <c r="T56" s="53" t="e">
        <f t="shared" si="1"/>
        <v>#REF!</v>
      </c>
      <c r="U56" s="100" t="str">
        <f t="shared" si="5"/>
        <v>-</v>
      </c>
      <c r="V56" s="100" t="str">
        <f>IFERROR(R56/R53,"-")</f>
        <v>-</v>
      </c>
    </row>
    <row r="57" spans="1:22" ht="15.75" x14ac:dyDescent="0.25">
      <c r="B57" s="139" t="s">
        <v>65</v>
      </c>
      <c r="C57" s="140">
        <f>C53-C54</f>
        <v>-1708</v>
      </c>
      <c r="D57" s="140">
        <f t="shared" ref="D57:H57" si="7">D53-D54</f>
        <v>1833</v>
      </c>
      <c r="E57" s="140">
        <f t="shared" si="7"/>
        <v>5224</v>
      </c>
      <c r="F57" s="140">
        <f t="shared" si="7"/>
        <v>6310</v>
      </c>
      <c r="G57" s="140">
        <f t="shared" si="7"/>
        <v>7070</v>
      </c>
      <c r="H57" s="140">
        <f t="shared" si="7"/>
        <v>6681</v>
      </c>
      <c r="I57" s="141">
        <f t="shared" si="2"/>
        <v>-5.5021216407355023E-2</v>
      </c>
      <c r="J57" s="140">
        <f t="shared" si="3"/>
        <v>-389</v>
      </c>
      <c r="K57" s="141">
        <f t="shared" si="0"/>
        <v>2.1251432984666905E-3</v>
      </c>
      <c r="L57" s="141">
        <f>H57/H53</f>
        <v>0.10967021783023359</v>
      </c>
      <c r="M57" s="140">
        <v>128</v>
      </c>
      <c r="N57" s="140">
        <v>1238</v>
      </c>
      <c r="O57" s="140">
        <v>1529</v>
      </c>
      <c r="P57" s="140">
        <v>4469</v>
      </c>
      <c r="Q57" s="140">
        <v>4322</v>
      </c>
      <c r="R57" s="140">
        <v>4078</v>
      </c>
      <c r="S57" s="141">
        <f t="shared" si="4"/>
        <v>-5.6455344747801894E-2</v>
      </c>
      <c r="T57" s="140">
        <f t="shared" si="1"/>
        <v>-244</v>
      </c>
      <c r="U57" s="141">
        <f t="shared" si="5"/>
        <v>9.2949637893668443E-3</v>
      </c>
      <c r="V57" s="141">
        <f>IFERROR(R57/R53,"-")</f>
        <v>0.42585630743525482</v>
      </c>
    </row>
    <row r="58" spans="1:22" x14ac:dyDescent="0.25">
      <c r="B58" s="103"/>
      <c r="C58" s="104"/>
      <c r="D58" s="104"/>
      <c r="E58" s="104"/>
      <c r="F58" s="104"/>
      <c r="G58" s="104"/>
      <c r="H58" s="105"/>
      <c r="I58" s="104"/>
      <c r="J58" s="106"/>
      <c r="K58" s="106"/>
      <c r="L58" s="106"/>
    </row>
    <row r="59" spans="1:22" x14ac:dyDescent="0.25">
      <c r="B59" s="107" t="s">
        <v>57</v>
      </c>
      <c r="C59" s="107"/>
      <c r="D59" s="107"/>
      <c r="E59" s="107"/>
      <c r="F59" s="107"/>
      <c r="G59" s="107"/>
      <c r="H59" s="107"/>
      <c r="I59" s="107"/>
      <c r="J59" s="107"/>
      <c r="K59" s="107"/>
      <c r="L59" s="107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A9043-E8C1-4C67-A08E-12917D018B24}">
  <sheetPr>
    <tabColor theme="7" tint="0.79998168889431442"/>
    <pageSetUpPr fitToPage="1"/>
  </sheetPr>
  <dimension ref="A1:W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4" max="23" width="11.42578125" hidden="1" customWidth="1"/>
  </cols>
  <sheetData>
    <row r="1" spans="1:23" ht="42.75" customHeight="1" x14ac:dyDescent="0.25"/>
    <row r="3" spans="1:23" ht="42" customHeight="1" thickBot="1" x14ac:dyDescent="0.3">
      <c r="B3" s="273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3" s="273"/>
      <c r="D3" s="273"/>
      <c r="E3" s="273"/>
      <c r="F3" s="273"/>
      <c r="G3" s="273"/>
      <c r="H3" s="273"/>
      <c r="I3" s="273"/>
      <c r="J3" s="273"/>
      <c r="K3" s="273"/>
      <c r="N3" s="143" t="s">
        <v>269</v>
      </c>
      <c r="O3" s="144"/>
      <c r="P3" s="144"/>
      <c r="Q3" s="144"/>
      <c r="R3" s="144"/>
      <c r="S3" s="144"/>
      <c r="T3" s="144"/>
      <c r="U3" s="144"/>
      <c r="V3" s="144"/>
      <c r="W3" s="144"/>
    </row>
    <row r="4" spans="1:23" ht="6" customHeight="1" x14ac:dyDescent="0.25"/>
    <row r="5" spans="1:23" ht="15.75" x14ac:dyDescent="0.25">
      <c r="B5" s="145"/>
      <c r="C5" s="305" t="s">
        <v>45</v>
      </c>
      <c r="D5" s="306"/>
      <c r="E5" s="306"/>
      <c r="F5" s="306"/>
      <c r="G5" s="306"/>
      <c r="H5" s="306"/>
      <c r="I5" s="306"/>
      <c r="J5" s="306"/>
      <c r="K5" s="306"/>
      <c r="N5" s="145"/>
      <c r="O5" s="305" t="s">
        <v>45</v>
      </c>
      <c r="P5" s="306"/>
      <c r="Q5" s="306"/>
      <c r="R5" s="306"/>
      <c r="S5" s="306"/>
      <c r="T5" s="306"/>
      <c r="U5" s="306"/>
      <c r="V5" s="306"/>
      <c r="W5" s="306"/>
    </row>
    <row r="6" spans="1:23" s="146" customFormat="1" ht="72" customHeight="1" x14ac:dyDescent="0.25">
      <c r="B6" s="147"/>
      <c r="C6" s="148">
        <v>2020</v>
      </c>
      <c r="D6" s="149">
        <v>2021</v>
      </c>
      <c r="E6" s="149">
        <v>2022</v>
      </c>
      <c r="F6" s="149">
        <v>2023</v>
      </c>
      <c r="G6" s="149">
        <v>2024</v>
      </c>
      <c r="H6" s="149">
        <v>2025</v>
      </c>
      <c r="I6" s="150" t="str">
        <f>CONCATENATE("var. ",RIGHT(H6,2),"/",RIGHT(G6,2))</f>
        <v>var. 25/24</v>
      </c>
      <c r="J6" s="151" t="str">
        <f>CONCATENATE("dif. ",RIGHT(H6,2),"/",RIGHT(G6,2))</f>
        <v>dif. 25/24</v>
      </c>
      <c r="K6" s="150" t="str">
        <f>CONCATENATE("Cuota s/ total lugares de residencia ",RIGHT(H6,4))</f>
        <v>Cuota s/ total lugares de residencia 2025</v>
      </c>
      <c r="N6" s="147"/>
      <c r="O6" s="148">
        <v>2020</v>
      </c>
      <c r="P6" s="149">
        <v>2021</v>
      </c>
      <c r="Q6" s="149">
        <v>2022</v>
      </c>
      <c r="R6" s="149">
        <v>2023</v>
      </c>
      <c r="S6" s="149">
        <v>2024</v>
      </c>
      <c r="T6" s="149">
        <v>2025</v>
      </c>
      <c r="U6" s="150" t="str">
        <f>CONCATENATE("var. ",RIGHT(T6,2),"/",RIGHT(S6,2))</f>
        <v>var. 25/24</v>
      </c>
      <c r="V6" s="151" t="str">
        <f>CONCATENATE("dif. ",RIGHT(T6,2),"/",RIGHT(S6,2))</f>
        <v>dif. 25/24</v>
      </c>
      <c r="W6" s="150" t="str">
        <f>CONCATENATE("Cuota s/ total lugares de residencia ",RIGHT(T6,4))</f>
        <v>Cuota s/ total lugares de residencia 2025</v>
      </c>
    </row>
    <row r="7" spans="1:23" x14ac:dyDescent="0.25">
      <c r="A7" s="1"/>
      <c r="B7" s="152" t="s">
        <v>45</v>
      </c>
      <c r="C7" s="153"/>
      <c r="D7" s="153"/>
      <c r="E7" s="153"/>
      <c r="F7" s="153"/>
      <c r="G7" s="153"/>
      <c r="H7" s="154"/>
      <c r="I7" s="154"/>
      <c r="J7" s="154"/>
      <c r="K7" s="153"/>
      <c r="L7" s="81"/>
      <c r="N7" s="155" t="s">
        <v>53</v>
      </c>
      <c r="O7" s="153"/>
      <c r="P7" s="153"/>
      <c r="Q7" s="153"/>
      <c r="R7" s="153"/>
      <c r="S7" s="153"/>
      <c r="T7" s="154"/>
      <c r="U7" s="154"/>
      <c r="V7" s="154"/>
      <c r="W7" s="153"/>
    </row>
    <row r="8" spans="1:23" x14ac:dyDescent="0.25">
      <c r="A8" s="1"/>
      <c r="B8" s="156" t="s">
        <v>73</v>
      </c>
      <c r="C8" s="157">
        <v>1565303</v>
      </c>
      <c r="D8" s="157">
        <v>2335438</v>
      </c>
      <c r="E8" s="157">
        <v>4760117</v>
      </c>
      <c r="F8" s="157">
        <v>5189113</v>
      </c>
      <c r="G8" s="157">
        <v>5483293</v>
      </c>
      <c r="H8" s="157">
        <v>5451268</v>
      </c>
      <c r="I8" s="158">
        <f>IFERROR(H8/G8-1,"-")</f>
        <v>-5.8404684921998795E-3</v>
      </c>
      <c r="J8" s="157">
        <f t="shared" ref="J8:J20" si="0">H8-G8</f>
        <v>-32025</v>
      </c>
      <c r="K8" s="158">
        <f t="shared" ref="K8:K20" si="1">H8/H$8</f>
        <v>1</v>
      </c>
      <c r="L8" s="81"/>
      <c r="N8" s="156" t="s">
        <v>73</v>
      </c>
      <c r="O8" s="157">
        <v>103516</v>
      </c>
      <c r="P8" s="157">
        <v>164258</v>
      </c>
      <c r="Q8" s="157">
        <v>229131</v>
      </c>
      <c r="R8" s="157">
        <v>240044</v>
      </c>
      <c r="S8" s="157">
        <v>250407</v>
      </c>
      <c r="T8" s="157">
        <v>282601</v>
      </c>
      <c r="U8" s="158">
        <f>IFERROR(T8/S8-1,"-")</f>
        <v>0.12856669342310711</v>
      </c>
      <c r="V8" s="157">
        <f>T8-S8</f>
        <v>32194</v>
      </c>
      <c r="W8" s="158">
        <f>T8/T$8</f>
        <v>1</v>
      </c>
    </row>
    <row r="9" spans="1:23" x14ac:dyDescent="0.25">
      <c r="A9" s="1" t="s">
        <v>101</v>
      </c>
      <c r="B9" s="159" t="s">
        <v>102</v>
      </c>
      <c r="C9" s="160">
        <v>456683</v>
      </c>
      <c r="D9" s="160">
        <v>800301</v>
      </c>
      <c r="E9" s="160">
        <v>1017559</v>
      </c>
      <c r="F9" s="160">
        <v>1042721</v>
      </c>
      <c r="G9" s="160">
        <v>1059034</v>
      </c>
      <c r="H9" s="160">
        <v>1068407</v>
      </c>
      <c r="I9" s="161">
        <f>IFERROR(H9/G9-1,"-")</f>
        <v>8.8505184913798551E-3</v>
      </c>
      <c r="J9" s="160">
        <f t="shared" si="0"/>
        <v>9373</v>
      </c>
      <c r="K9" s="161">
        <f t="shared" si="1"/>
        <v>0.19599238195590457</v>
      </c>
      <c r="L9" s="81"/>
      <c r="N9" s="159" t="s">
        <v>102</v>
      </c>
      <c r="O9" s="160">
        <v>61571</v>
      </c>
      <c r="P9" s="160">
        <v>104557</v>
      </c>
      <c r="Q9" s="160">
        <v>134886</v>
      </c>
      <c r="R9" s="160">
        <v>147214</v>
      </c>
      <c r="S9" s="160">
        <v>155988</v>
      </c>
      <c r="T9" s="160">
        <v>178403</v>
      </c>
      <c r="U9" s="161">
        <f>IFERROR(T9/S9-1,"-")</f>
        <v>0.14369695104751656</v>
      </c>
      <c r="V9" s="160">
        <f t="shared" ref="V9:V19" si="2">T9-S9</f>
        <v>22415</v>
      </c>
      <c r="W9" s="161">
        <f>T9/T$8</f>
        <v>0.63128934434060746</v>
      </c>
    </row>
    <row r="10" spans="1:23" x14ac:dyDescent="0.25">
      <c r="A10" s="162" t="s">
        <v>108</v>
      </c>
      <c r="B10" s="163" t="s">
        <v>108</v>
      </c>
      <c r="C10" s="164">
        <v>208389</v>
      </c>
      <c r="D10" s="164">
        <v>416048</v>
      </c>
      <c r="E10" s="164">
        <v>423986</v>
      </c>
      <c r="F10" s="164">
        <v>430319</v>
      </c>
      <c r="G10" s="164">
        <v>422024</v>
      </c>
      <c r="H10" s="164">
        <v>424160</v>
      </c>
      <c r="I10" s="165">
        <f>IFERROR(H10/G10-1,"-")</f>
        <v>5.0613235266241396E-3</v>
      </c>
      <c r="J10" s="164">
        <f t="shared" si="0"/>
        <v>2136</v>
      </c>
      <c r="K10" s="165">
        <f t="shared" si="1"/>
        <v>7.7809419753349124E-2</v>
      </c>
      <c r="L10" s="81"/>
      <c r="N10" s="163" t="s">
        <v>108</v>
      </c>
      <c r="O10" s="164">
        <v>27791</v>
      </c>
      <c r="P10" s="164">
        <v>53247</v>
      </c>
      <c r="Q10" s="164">
        <v>69865</v>
      </c>
      <c r="R10" s="164">
        <v>67025</v>
      </c>
      <c r="S10" s="164">
        <v>75188</v>
      </c>
      <c r="T10" s="164">
        <v>93462</v>
      </c>
      <c r="U10" s="165">
        <f>IFERROR(T10/S10-1,"-")</f>
        <v>0.24304410278235888</v>
      </c>
      <c r="V10" s="164">
        <f t="shared" si="2"/>
        <v>18274</v>
      </c>
      <c r="W10" s="165">
        <f>T10/T$8</f>
        <v>0.33072069808670174</v>
      </c>
    </row>
    <row r="11" spans="1:23" x14ac:dyDescent="0.25">
      <c r="A11" s="162" t="s">
        <v>105</v>
      </c>
      <c r="B11" s="163" t="s">
        <v>105</v>
      </c>
      <c r="C11" s="164">
        <v>248294</v>
      </c>
      <c r="D11" s="164">
        <v>384253</v>
      </c>
      <c r="E11" s="164">
        <v>593573</v>
      </c>
      <c r="F11" s="164">
        <v>612402</v>
      </c>
      <c r="G11" s="164">
        <v>637010</v>
      </c>
      <c r="H11" s="164">
        <v>644247</v>
      </c>
      <c r="I11" s="165">
        <f>IFERROR(H11/G11-1,"-")</f>
        <v>1.1360889154016451E-2</v>
      </c>
      <c r="J11" s="164">
        <f t="shared" si="0"/>
        <v>7237</v>
      </c>
      <c r="K11" s="165">
        <f t="shared" si="1"/>
        <v>0.11818296220255545</v>
      </c>
      <c r="L11" s="81"/>
      <c r="N11" s="163" t="s">
        <v>105</v>
      </c>
      <c r="O11" s="164">
        <v>33780</v>
      </c>
      <c r="P11" s="164">
        <v>51310</v>
      </c>
      <c r="Q11" s="164">
        <v>65021</v>
      </c>
      <c r="R11" s="164">
        <v>80189</v>
      </c>
      <c r="S11" s="164">
        <v>80800</v>
      </c>
      <c r="T11" s="164">
        <v>84941</v>
      </c>
      <c r="U11" s="165">
        <f>IFERROR(T11/S11-1,"-")</f>
        <v>5.1250000000000018E-2</v>
      </c>
      <c r="V11" s="164">
        <f t="shared" si="2"/>
        <v>4141</v>
      </c>
      <c r="W11" s="165">
        <f>T11/T$8</f>
        <v>0.30056864625390567</v>
      </c>
    </row>
    <row r="12" spans="1:23" x14ac:dyDescent="0.25">
      <c r="A12" s="1"/>
      <c r="B12" s="159" t="s">
        <v>112</v>
      </c>
      <c r="C12" s="160">
        <v>1108620</v>
      </c>
      <c r="D12" s="160">
        <v>1535137</v>
      </c>
      <c r="E12" s="160">
        <v>3742558</v>
      </c>
      <c r="F12" s="160">
        <v>4146392</v>
      </c>
      <c r="G12" s="160">
        <v>4424259</v>
      </c>
      <c r="H12" s="160">
        <v>4382861</v>
      </c>
      <c r="I12" s="161">
        <f>IFERROR(H12/G12-1,"-")</f>
        <v>-9.3570471348987105E-3</v>
      </c>
      <c r="J12" s="160">
        <f t="shared" si="0"/>
        <v>-41398</v>
      </c>
      <c r="K12" s="161">
        <f t="shared" si="1"/>
        <v>0.80400761804409537</v>
      </c>
      <c r="L12" s="81"/>
      <c r="N12" s="159" t="s">
        <v>112</v>
      </c>
      <c r="O12" s="160">
        <v>41945</v>
      </c>
      <c r="P12" s="160">
        <v>59701</v>
      </c>
      <c r="Q12" s="160">
        <v>94245</v>
      </c>
      <c r="R12" s="160">
        <v>92830</v>
      </c>
      <c r="S12" s="160">
        <v>94419</v>
      </c>
      <c r="T12" s="160">
        <v>104198</v>
      </c>
      <c r="U12" s="161">
        <f>IFERROR(T12/S12-1,"-")</f>
        <v>0.10357025598661296</v>
      </c>
      <c r="V12" s="160">
        <f t="shared" si="2"/>
        <v>9779</v>
      </c>
      <c r="W12" s="161">
        <f>T12/T$8</f>
        <v>0.36871065565939259</v>
      </c>
    </row>
    <row r="13" spans="1:23" s="57" customFormat="1" x14ac:dyDescent="0.25">
      <c r="B13" s="163" t="s">
        <v>115</v>
      </c>
      <c r="C13" s="164">
        <v>436137</v>
      </c>
      <c r="D13" s="164">
        <v>446045</v>
      </c>
      <c r="E13" s="164">
        <v>1722453</v>
      </c>
      <c r="F13" s="164">
        <v>1939573</v>
      </c>
      <c r="G13" s="164">
        <v>2075774</v>
      </c>
      <c r="H13" s="164">
        <v>2057896</v>
      </c>
      <c r="I13" s="165">
        <f t="shared" ref="I13:I20" si="3">IFERROR(H13/G13-1,"-")</f>
        <v>-8.61269097695605E-3</v>
      </c>
      <c r="J13" s="164">
        <f t="shared" si="0"/>
        <v>-17878</v>
      </c>
      <c r="K13" s="165">
        <f t="shared" si="1"/>
        <v>0.37750776516582929</v>
      </c>
      <c r="L13" s="166"/>
      <c r="N13" s="163" t="s">
        <v>115</v>
      </c>
      <c r="O13" s="164">
        <v>3941</v>
      </c>
      <c r="P13" s="164">
        <v>3336</v>
      </c>
      <c r="Q13" s="164">
        <v>9917</v>
      </c>
      <c r="R13" s="164">
        <v>11654</v>
      </c>
      <c r="S13" s="164">
        <v>10678</v>
      </c>
      <c r="T13" s="164">
        <v>10456</v>
      </c>
      <c r="U13" s="165">
        <f t="shared" ref="U13:U20" si="4">IFERROR(T13/S13-1,"-")</f>
        <v>-2.0790410189174047E-2</v>
      </c>
      <c r="V13" s="164">
        <f t="shared" si="2"/>
        <v>-222</v>
      </c>
      <c r="W13" s="165">
        <f t="shared" ref="W13:W20" si="5">T13/T$8</f>
        <v>3.6999161361778624E-2</v>
      </c>
    </row>
    <row r="14" spans="1:23" s="57" customFormat="1" x14ac:dyDescent="0.25">
      <c r="B14" s="163" t="s">
        <v>118</v>
      </c>
      <c r="C14" s="164">
        <v>138922</v>
      </c>
      <c r="D14" s="164">
        <v>222501</v>
      </c>
      <c r="E14" s="164">
        <v>385709</v>
      </c>
      <c r="F14" s="164">
        <v>432804</v>
      </c>
      <c r="G14" s="164">
        <v>447422</v>
      </c>
      <c r="H14" s="164">
        <v>442958</v>
      </c>
      <c r="I14" s="165">
        <f t="shared" si="3"/>
        <v>-9.9771580297794982E-3</v>
      </c>
      <c r="J14" s="164">
        <f t="shared" si="0"/>
        <v>-4464</v>
      </c>
      <c r="K14" s="165">
        <f t="shared" si="1"/>
        <v>8.125779176514529E-2</v>
      </c>
      <c r="L14" s="166"/>
      <c r="N14" s="163" t="s">
        <v>118</v>
      </c>
      <c r="O14" s="164">
        <v>4053</v>
      </c>
      <c r="P14" s="164">
        <v>7314</v>
      </c>
      <c r="Q14" s="164">
        <v>11261</v>
      </c>
      <c r="R14" s="164">
        <v>13315</v>
      </c>
      <c r="S14" s="164">
        <v>13141</v>
      </c>
      <c r="T14" s="164">
        <v>15417</v>
      </c>
      <c r="U14" s="165">
        <f t="shared" si="4"/>
        <v>0.17319838672855936</v>
      </c>
      <c r="V14" s="164">
        <f t="shared" si="2"/>
        <v>2276</v>
      </c>
      <c r="W14" s="165">
        <f t="shared" si="5"/>
        <v>5.4553947084405224E-2</v>
      </c>
    </row>
    <row r="15" spans="1:23" x14ac:dyDescent="0.25">
      <c r="A15" s="1"/>
      <c r="B15" s="163" t="s">
        <v>121</v>
      </c>
      <c r="C15" s="164">
        <v>58766</v>
      </c>
      <c r="D15" s="164">
        <v>128102</v>
      </c>
      <c r="E15" s="164">
        <v>197280</v>
      </c>
      <c r="F15" s="164">
        <v>215579</v>
      </c>
      <c r="G15" s="164">
        <v>230703</v>
      </c>
      <c r="H15" s="164">
        <v>223159</v>
      </c>
      <c r="I15" s="165">
        <f t="shared" si="3"/>
        <v>-3.2700051581470602E-2</v>
      </c>
      <c r="J15" s="164">
        <f t="shared" si="0"/>
        <v>-7544</v>
      </c>
      <c r="K15" s="165">
        <f t="shared" si="1"/>
        <v>4.0937081060773386E-2</v>
      </c>
      <c r="L15" s="81"/>
      <c r="N15" s="163" t="s">
        <v>121</v>
      </c>
      <c r="O15" s="164">
        <v>2906</v>
      </c>
      <c r="P15" s="164">
        <v>7134</v>
      </c>
      <c r="Q15" s="164">
        <v>8524</v>
      </c>
      <c r="R15" s="164">
        <v>8780</v>
      </c>
      <c r="S15" s="164">
        <v>8587</v>
      </c>
      <c r="T15" s="164">
        <v>9534</v>
      </c>
      <c r="U15" s="165">
        <f t="shared" si="4"/>
        <v>0.11028298590893204</v>
      </c>
      <c r="V15" s="164">
        <f t="shared" si="2"/>
        <v>947</v>
      </c>
      <c r="W15" s="165">
        <f t="shared" si="5"/>
        <v>3.3736610981560576E-2</v>
      </c>
    </row>
    <row r="16" spans="1:23" x14ac:dyDescent="0.25">
      <c r="A16" s="1"/>
      <c r="B16" s="163" t="s">
        <v>128</v>
      </c>
      <c r="C16" s="164">
        <v>39662</v>
      </c>
      <c r="D16" s="164">
        <v>93209</v>
      </c>
      <c r="E16" s="164">
        <v>169583</v>
      </c>
      <c r="F16" s="164">
        <v>165266</v>
      </c>
      <c r="G16" s="164">
        <v>174746</v>
      </c>
      <c r="H16" s="164">
        <v>161550</v>
      </c>
      <c r="I16" s="165">
        <f t="shared" si="3"/>
        <v>-7.551531937783984E-2</v>
      </c>
      <c r="J16" s="164">
        <f t="shared" si="0"/>
        <v>-13196</v>
      </c>
      <c r="K16" s="165">
        <f t="shared" si="1"/>
        <v>2.9635306868053452E-2</v>
      </c>
      <c r="L16" s="81"/>
      <c r="N16" s="163" t="s">
        <v>128</v>
      </c>
      <c r="O16" s="164">
        <v>784</v>
      </c>
      <c r="P16" s="164">
        <v>1333</v>
      </c>
      <c r="Q16" s="164">
        <v>2573</v>
      </c>
      <c r="R16" s="164">
        <v>2637</v>
      </c>
      <c r="S16" s="164">
        <v>2356</v>
      </c>
      <c r="T16" s="164">
        <v>2766</v>
      </c>
      <c r="U16" s="165">
        <f t="shared" si="4"/>
        <v>0.17402376910016981</v>
      </c>
      <c r="V16" s="164">
        <f t="shared" si="2"/>
        <v>410</v>
      </c>
      <c r="W16" s="165">
        <f t="shared" si="5"/>
        <v>9.7876511406541373E-3</v>
      </c>
    </row>
    <row r="17" spans="1:23" x14ac:dyDescent="0.25">
      <c r="A17" s="1"/>
      <c r="B17" s="163" t="s">
        <v>124</v>
      </c>
      <c r="C17" s="164">
        <v>55544</v>
      </c>
      <c r="D17" s="164">
        <v>93337</v>
      </c>
      <c r="E17" s="164">
        <v>146133</v>
      </c>
      <c r="F17" s="164">
        <v>150942</v>
      </c>
      <c r="G17" s="164">
        <v>157476</v>
      </c>
      <c r="H17" s="164">
        <v>148157</v>
      </c>
      <c r="I17" s="165">
        <f t="shared" si="3"/>
        <v>-5.9177271457237945E-2</v>
      </c>
      <c r="J17" s="164">
        <f t="shared" si="0"/>
        <v>-9319</v>
      </c>
      <c r="K17" s="165">
        <f t="shared" si="1"/>
        <v>2.7178447289694801E-2</v>
      </c>
      <c r="L17" s="81"/>
      <c r="N17" s="163" t="s">
        <v>124</v>
      </c>
      <c r="O17" s="164">
        <v>812</v>
      </c>
      <c r="P17" s="164">
        <v>1357</v>
      </c>
      <c r="Q17" s="164">
        <v>1836</v>
      </c>
      <c r="R17" s="164">
        <v>1935</v>
      </c>
      <c r="S17" s="164">
        <v>2097</v>
      </c>
      <c r="T17" s="164">
        <v>2540</v>
      </c>
      <c r="U17" s="165">
        <f t="shared" si="4"/>
        <v>0.21125417262756319</v>
      </c>
      <c r="V17" s="164">
        <f t="shared" si="2"/>
        <v>443</v>
      </c>
      <c r="W17" s="165">
        <f t="shared" si="5"/>
        <v>8.9879370561321437E-3</v>
      </c>
    </row>
    <row r="18" spans="1:23" x14ac:dyDescent="0.25">
      <c r="A18" s="1"/>
      <c r="B18" s="163" t="s">
        <v>133</v>
      </c>
      <c r="C18" s="164">
        <v>28784</v>
      </c>
      <c r="D18" s="164">
        <v>25400</v>
      </c>
      <c r="E18" s="164">
        <v>62338</v>
      </c>
      <c r="F18" s="164">
        <v>67941</v>
      </c>
      <c r="G18" s="164">
        <v>63693</v>
      </c>
      <c r="H18" s="164">
        <v>62498</v>
      </c>
      <c r="I18" s="165">
        <f t="shared" si="3"/>
        <v>-1.8761873361279879E-2</v>
      </c>
      <c r="J18" s="164">
        <f t="shared" si="0"/>
        <v>-1195</v>
      </c>
      <c r="K18" s="165">
        <f t="shared" si="1"/>
        <v>1.1464855516184492E-2</v>
      </c>
      <c r="L18" s="81"/>
      <c r="N18" s="163" t="s">
        <v>133</v>
      </c>
      <c r="O18" s="164">
        <v>678</v>
      </c>
      <c r="P18" s="164">
        <v>555</v>
      </c>
      <c r="Q18" s="164">
        <v>1075</v>
      </c>
      <c r="R18" s="164">
        <v>1342</v>
      </c>
      <c r="S18" s="164">
        <v>1334</v>
      </c>
      <c r="T18" s="164">
        <v>1128</v>
      </c>
      <c r="U18" s="165">
        <f t="shared" si="4"/>
        <v>-0.15442278860569714</v>
      </c>
      <c r="V18" s="164">
        <f t="shared" si="2"/>
        <v>-206</v>
      </c>
      <c r="W18" s="165">
        <f t="shared" si="5"/>
        <v>3.9914933068177392E-3</v>
      </c>
    </row>
    <row r="19" spans="1:23" x14ac:dyDescent="0.25">
      <c r="A19" s="162" t="s">
        <v>149</v>
      </c>
      <c r="B19" s="163" t="s">
        <v>136</v>
      </c>
      <c r="C19" s="164">
        <v>42711</v>
      </c>
      <c r="D19" s="164">
        <v>22147</v>
      </c>
      <c r="E19" s="164">
        <v>56734</v>
      </c>
      <c r="F19" s="164">
        <v>70961</v>
      </c>
      <c r="G19" s="164">
        <v>68906</v>
      </c>
      <c r="H19" s="164">
        <v>58343</v>
      </c>
      <c r="I19" s="165">
        <f t="shared" si="3"/>
        <v>-0.15329579427045537</v>
      </c>
      <c r="J19" s="164">
        <f t="shared" si="0"/>
        <v>-10563</v>
      </c>
      <c r="K19" s="165">
        <f t="shared" si="1"/>
        <v>1.0702647530813014E-2</v>
      </c>
      <c r="L19" s="81"/>
      <c r="N19" s="163" t="s">
        <v>136</v>
      </c>
      <c r="O19" s="164">
        <v>1097</v>
      </c>
      <c r="P19" s="164">
        <v>919</v>
      </c>
      <c r="Q19" s="164">
        <v>1885</v>
      </c>
      <c r="R19" s="164">
        <v>2455</v>
      </c>
      <c r="S19" s="164">
        <v>2502</v>
      </c>
      <c r="T19" s="164">
        <v>2367</v>
      </c>
      <c r="U19" s="165">
        <f t="shared" si="4"/>
        <v>-5.3956834532374098E-2</v>
      </c>
      <c r="V19" s="164">
        <f t="shared" si="2"/>
        <v>-135</v>
      </c>
      <c r="W19" s="165">
        <f t="shared" si="5"/>
        <v>8.3757665401042458E-3</v>
      </c>
    </row>
    <row r="20" spans="1:23" x14ac:dyDescent="0.25">
      <c r="A20" s="167" t="s">
        <v>150</v>
      </c>
      <c r="B20" s="168" t="s">
        <v>150</v>
      </c>
      <c r="C20" s="169">
        <f t="shared" ref="C20:H20" si="6">C12-SUM(C13:C19)</f>
        <v>308094</v>
      </c>
      <c r="D20" s="169">
        <f t="shared" si="6"/>
        <v>504396</v>
      </c>
      <c r="E20" s="169">
        <f t="shared" si="6"/>
        <v>1002328</v>
      </c>
      <c r="F20" s="169">
        <f t="shared" si="6"/>
        <v>1103326</v>
      </c>
      <c r="G20" s="169">
        <f t="shared" si="6"/>
        <v>1205539</v>
      </c>
      <c r="H20" s="169">
        <f t="shared" si="6"/>
        <v>1228300</v>
      </c>
      <c r="I20" s="170">
        <f t="shared" si="3"/>
        <v>1.8880351444457544E-2</v>
      </c>
      <c r="J20" s="169">
        <f t="shared" si="0"/>
        <v>22761</v>
      </c>
      <c r="K20" s="170">
        <f t="shared" si="1"/>
        <v>0.22532372284760169</v>
      </c>
      <c r="L20" s="81"/>
      <c r="N20" s="168" t="s">
        <v>150</v>
      </c>
      <c r="O20" s="169">
        <f t="shared" ref="O20:T20" si="7">O12-SUM(O13:O19)</f>
        <v>27674</v>
      </c>
      <c r="P20" s="169">
        <f t="shared" si="7"/>
        <v>37753</v>
      </c>
      <c r="Q20" s="169">
        <f t="shared" si="7"/>
        <v>57174</v>
      </c>
      <c r="R20" s="169">
        <f t="shared" si="7"/>
        <v>50712</v>
      </c>
      <c r="S20" s="169">
        <f t="shared" si="7"/>
        <v>53724</v>
      </c>
      <c r="T20" s="169">
        <f t="shared" si="7"/>
        <v>59990</v>
      </c>
      <c r="U20" s="170">
        <f t="shared" si="4"/>
        <v>0.11663316208770746</v>
      </c>
      <c r="V20" s="169">
        <f>T20-S20</f>
        <v>6266</v>
      </c>
      <c r="W20" s="170">
        <f t="shared" si="5"/>
        <v>0.21227808818793989</v>
      </c>
    </row>
    <row r="21" spans="1:23" x14ac:dyDescent="0.25">
      <c r="B21" s="155" t="s">
        <v>46</v>
      </c>
      <c r="C21" s="153"/>
      <c r="D21" s="153"/>
      <c r="E21" s="153"/>
      <c r="F21" s="153"/>
      <c r="G21" s="153"/>
      <c r="H21" s="154"/>
      <c r="I21" s="154"/>
      <c r="J21" s="154"/>
      <c r="K21" s="153"/>
      <c r="L21" s="171"/>
      <c r="M21" s="171"/>
      <c r="N21" s="171"/>
    </row>
    <row r="22" spans="1:23" x14ac:dyDescent="0.25">
      <c r="B22" s="156" t="s">
        <v>73</v>
      </c>
      <c r="C22" s="157">
        <v>550867</v>
      </c>
      <c r="D22" s="157">
        <v>881045</v>
      </c>
      <c r="E22" s="157">
        <v>1757098</v>
      </c>
      <c r="F22" s="157">
        <v>1888751</v>
      </c>
      <c r="G22" s="157">
        <v>1938929</v>
      </c>
      <c r="H22" s="157">
        <v>1858237</v>
      </c>
      <c r="I22" s="158">
        <f>IFERROR(H22/G22-1,"-")</f>
        <v>-4.1616789475014349E-2</v>
      </c>
      <c r="J22" s="157">
        <f>H22-G22</f>
        <v>-80692</v>
      </c>
      <c r="K22" s="158">
        <f>H22/H$8</f>
        <v>0.34088160772869724</v>
      </c>
      <c r="L22" s="107"/>
      <c r="M22" s="107"/>
      <c r="N22" s="107"/>
    </row>
    <row r="23" spans="1:23" x14ac:dyDescent="0.25">
      <c r="B23" s="159" t="s">
        <v>102</v>
      </c>
      <c r="C23" s="160">
        <v>117997</v>
      </c>
      <c r="D23" s="160">
        <v>247584</v>
      </c>
      <c r="E23" s="160">
        <v>207257</v>
      </c>
      <c r="F23" s="160">
        <v>181700</v>
      </c>
      <c r="G23" s="160">
        <v>161848</v>
      </c>
      <c r="H23" s="160">
        <v>147955</v>
      </c>
      <c r="I23" s="161">
        <f>IFERROR(H23/G23-1,"-")</f>
        <v>-8.5839800306460434E-2</v>
      </c>
      <c r="J23" s="160">
        <f t="shared" ref="J23:J33" si="8">H23-G23</f>
        <v>-13893</v>
      </c>
      <c r="K23" s="161">
        <f>H23/H$8</f>
        <v>2.7141391690887331E-2</v>
      </c>
    </row>
    <row r="24" spans="1:23" x14ac:dyDescent="0.25">
      <c r="B24" s="163" t="s">
        <v>108</v>
      </c>
      <c r="C24" s="164">
        <v>68476</v>
      </c>
      <c r="D24" s="164">
        <v>126666</v>
      </c>
      <c r="E24" s="164">
        <v>86860</v>
      </c>
      <c r="F24" s="164">
        <v>75361</v>
      </c>
      <c r="G24" s="164">
        <v>60679</v>
      </c>
      <c r="H24" s="164">
        <v>67419</v>
      </c>
      <c r="I24" s="165">
        <f>IFERROR(H24/G24-1,"-")</f>
        <v>0.11107631964930209</v>
      </c>
      <c r="J24" s="164">
        <f t="shared" si="8"/>
        <v>6740</v>
      </c>
      <c r="K24" s="165">
        <f>H24/H$8</f>
        <v>1.236758126733083E-2</v>
      </c>
    </row>
    <row r="25" spans="1:23" x14ac:dyDescent="0.25">
      <c r="B25" s="163" t="s">
        <v>105</v>
      </c>
      <c r="C25" s="164">
        <v>49521</v>
      </c>
      <c r="D25" s="164">
        <v>120918</v>
      </c>
      <c r="E25" s="164">
        <v>120397</v>
      </c>
      <c r="F25" s="164">
        <v>106339</v>
      </c>
      <c r="G25" s="164">
        <v>101169</v>
      </c>
      <c r="H25" s="164">
        <v>80536</v>
      </c>
      <c r="I25" s="165">
        <f>IFERROR(H25/G25-1,"-")</f>
        <v>-0.2039458727475808</v>
      </c>
      <c r="J25" s="164">
        <f t="shared" si="8"/>
        <v>-20633</v>
      </c>
      <c r="K25" s="165">
        <f>H25/H$8</f>
        <v>1.4773810423556501E-2</v>
      </c>
    </row>
    <row r="26" spans="1:23" x14ac:dyDescent="0.25">
      <c r="B26" s="159" t="s">
        <v>112</v>
      </c>
      <c r="C26" s="160">
        <v>432870</v>
      </c>
      <c r="D26" s="160">
        <v>633461</v>
      </c>
      <c r="E26" s="160">
        <v>1549841</v>
      </c>
      <c r="F26" s="160">
        <v>1707051</v>
      </c>
      <c r="G26" s="160">
        <v>1777081</v>
      </c>
      <c r="H26" s="160">
        <v>1710282</v>
      </c>
      <c r="I26" s="161">
        <f>IFERROR(H26/G26-1,"-")</f>
        <v>-3.7589170105358116E-2</v>
      </c>
      <c r="J26" s="160">
        <f t="shared" si="8"/>
        <v>-66799</v>
      </c>
      <c r="K26" s="161">
        <f>H26/H$8</f>
        <v>0.31374021603780994</v>
      </c>
    </row>
    <row r="27" spans="1:23" x14ac:dyDescent="0.25">
      <c r="B27" s="163" t="s">
        <v>115</v>
      </c>
      <c r="C27" s="164">
        <v>187852</v>
      </c>
      <c r="D27" s="164">
        <v>208305</v>
      </c>
      <c r="E27" s="164">
        <v>783677</v>
      </c>
      <c r="F27" s="164">
        <v>883804</v>
      </c>
      <c r="G27" s="164">
        <v>930359</v>
      </c>
      <c r="H27" s="164">
        <v>904858</v>
      </c>
      <c r="I27" s="165">
        <f t="shared" ref="I27:I34" si="9">IFERROR(H27/G27-1,"-")</f>
        <v>-2.7409849316231694E-2</v>
      </c>
      <c r="J27" s="164">
        <f t="shared" si="8"/>
        <v>-25501</v>
      </c>
      <c r="K27" s="165">
        <f t="shared" ref="K27:K34" si="10">H27/H$8</f>
        <v>0.16599037141450393</v>
      </c>
    </row>
    <row r="28" spans="1:23" x14ac:dyDescent="0.25">
      <c r="B28" s="163" t="s">
        <v>118</v>
      </c>
      <c r="C28" s="164">
        <v>57141</v>
      </c>
      <c r="D28" s="164">
        <v>103865</v>
      </c>
      <c r="E28" s="164">
        <v>169299</v>
      </c>
      <c r="F28" s="164">
        <v>182561</v>
      </c>
      <c r="G28" s="164">
        <v>183463</v>
      </c>
      <c r="H28" s="164">
        <v>171611</v>
      </c>
      <c r="I28" s="165">
        <f t="shared" si="9"/>
        <v>-6.4601581790333706E-2</v>
      </c>
      <c r="J28" s="164">
        <f t="shared" si="8"/>
        <v>-11852</v>
      </c>
      <c r="K28" s="165">
        <f t="shared" si="10"/>
        <v>3.14809325096473E-2</v>
      </c>
    </row>
    <row r="29" spans="1:23" x14ac:dyDescent="0.25">
      <c r="B29" s="163" t="s">
        <v>121</v>
      </c>
      <c r="C29" s="164">
        <v>20504</v>
      </c>
      <c r="D29" s="164">
        <v>42447</v>
      </c>
      <c r="E29" s="164">
        <v>63176</v>
      </c>
      <c r="F29" s="164">
        <v>65408</v>
      </c>
      <c r="G29" s="164">
        <v>57978</v>
      </c>
      <c r="H29" s="164">
        <v>51981</v>
      </c>
      <c r="I29" s="165">
        <f t="shared" si="9"/>
        <v>-0.10343578598778846</v>
      </c>
      <c r="J29" s="164">
        <f t="shared" si="8"/>
        <v>-5997</v>
      </c>
      <c r="K29" s="165">
        <f t="shared" si="10"/>
        <v>9.5355796119361586E-3</v>
      </c>
    </row>
    <row r="30" spans="1:23" x14ac:dyDescent="0.25">
      <c r="B30" s="163" t="s">
        <v>128</v>
      </c>
      <c r="C30" s="164">
        <v>17078</v>
      </c>
      <c r="D30" s="164">
        <v>41550</v>
      </c>
      <c r="E30" s="164">
        <v>75901</v>
      </c>
      <c r="F30" s="164">
        <v>70876</v>
      </c>
      <c r="G30" s="164">
        <v>71598</v>
      </c>
      <c r="H30" s="164">
        <v>66696</v>
      </c>
      <c r="I30" s="165">
        <f t="shared" si="9"/>
        <v>-6.8465599597754112E-2</v>
      </c>
      <c r="J30" s="164">
        <f t="shared" si="8"/>
        <v>-4902</v>
      </c>
      <c r="K30" s="165">
        <f t="shared" si="10"/>
        <v>1.223495157456944E-2</v>
      </c>
    </row>
    <row r="31" spans="1:23" x14ac:dyDescent="0.25">
      <c r="B31" s="163" t="s">
        <v>124</v>
      </c>
      <c r="C31" s="164">
        <v>28980</v>
      </c>
      <c r="D31" s="164">
        <v>51893</v>
      </c>
      <c r="E31" s="164">
        <v>82793</v>
      </c>
      <c r="F31" s="164">
        <v>80269</v>
      </c>
      <c r="G31" s="164">
        <v>81717</v>
      </c>
      <c r="H31" s="164">
        <v>77883</v>
      </c>
      <c r="I31" s="165">
        <f t="shared" si="9"/>
        <v>-4.6918021953816225E-2</v>
      </c>
      <c r="J31" s="164">
        <f t="shared" si="8"/>
        <v>-3834</v>
      </c>
      <c r="K31" s="165">
        <f t="shared" si="10"/>
        <v>1.4287134662981163E-2</v>
      </c>
    </row>
    <row r="32" spans="1:23" x14ac:dyDescent="0.25">
      <c r="B32" s="163" t="s">
        <v>133</v>
      </c>
      <c r="C32" s="164">
        <v>11625</v>
      </c>
      <c r="D32" s="164">
        <v>7603</v>
      </c>
      <c r="E32" s="164">
        <v>22864</v>
      </c>
      <c r="F32" s="164">
        <v>24584</v>
      </c>
      <c r="G32" s="164">
        <v>24160</v>
      </c>
      <c r="H32" s="164">
        <v>23072</v>
      </c>
      <c r="I32" s="165">
        <f t="shared" si="9"/>
        <v>-4.503311258278142E-2</v>
      </c>
      <c r="J32" s="164">
        <f t="shared" si="8"/>
        <v>-1088</v>
      </c>
      <c r="K32" s="165">
        <f t="shared" si="10"/>
        <v>4.2324097806235176E-3</v>
      </c>
    </row>
    <row r="33" spans="2:14" x14ac:dyDescent="0.25">
      <c r="B33" s="163" t="s">
        <v>136</v>
      </c>
      <c r="C33" s="164">
        <v>13377</v>
      </c>
      <c r="D33" s="164">
        <v>5465</v>
      </c>
      <c r="E33" s="164">
        <v>19705</v>
      </c>
      <c r="F33" s="164">
        <v>25664</v>
      </c>
      <c r="G33" s="164">
        <v>23273</v>
      </c>
      <c r="H33" s="164">
        <v>20293</v>
      </c>
      <c r="I33" s="165">
        <f t="shared" si="9"/>
        <v>-0.12804537446826791</v>
      </c>
      <c r="J33" s="164">
        <f t="shared" si="8"/>
        <v>-2980</v>
      </c>
      <c r="K33" s="165">
        <f t="shared" si="10"/>
        <v>3.7226201316831239E-3</v>
      </c>
    </row>
    <row r="34" spans="2:14" x14ac:dyDescent="0.25">
      <c r="B34" s="168" t="s">
        <v>150</v>
      </c>
      <c r="C34" s="169">
        <f t="shared" ref="C34:H34" si="11">C26-SUM(C27:C33)</f>
        <v>96313</v>
      </c>
      <c r="D34" s="169">
        <f t="shared" si="11"/>
        <v>172333</v>
      </c>
      <c r="E34" s="169">
        <f t="shared" si="11"/>
        <v>332426</v>
      </c>
      <c r="F34" s="169">
        <f t="shared" si="11"/>
        <v>373885</v>
      </c>
      <c r="G34" s="169">
        <f t="shared" si="11"/>
        <v>404533</v>
      </c>
      <c r="H34" s="169">
        <f t="shared" si="11"/>
        <v>393888</v>
      </c>
      <c r="I34" s="170">
        <f t="shared" si="9"/>
        <v>-2.6314293271500699E-2</v>
      </c>
      <c r="J34" s="169">
        <f>H34-G34</f>
        <v>-10645</v>
      </c>
      <c r="K34" s="170">
        <f t="shared" si="10"/>
        <v>7.2256216351865285E-2</v>
      </c>
    </row>
    <row r="35" spans="2:14" x14ac:dyDescent="0.25">
      <c r="B35" s="155" t="s">
        <v>47</v>
      </c>
      <c r="C35" s="153"/>
      <c r="D35" s="153"/>
      <c r="E35" s="153"/>
      <c r="F35" s="153"/>
      <c r="G35" s="153"/>
      <c r="H35" s="154"/>
      <c r="I35" s="154"/>
      <c r="J35" s="154"/>
      <c r="K35" s="153"/>
      <c r="L35" s="171"/>
      <c r="M35" s="171"/>
      <c r="N35" s="171"/>
    </row>
    <row r="36" spans="2:14" x14ac:dyDescent="0.25">
      <c r="B36" s="156" t="s">
        <v>73</v>
      </c>
      <c r="C36" s="157">
        <v>375345</v>
      </c>
      <c r="D36" s="157">
        <v>492258</v>
      </c>
      <c r="E36" s="157">
        <v>1245331</v>
      </c>
      <c r="F36" s="157">
        <v>1320376</v>
      </c>
      <c r="G36" s="157">
        <v>1387795</v>
      </c>
      <c r="H36" s="157">
        <v>1421549</v>
      </c>
      <c r="I36" s="158">
        <f>IFERROR(H36/G36-1,"-")</f>
        <v>2.4322036035581585E-2</v>
      </c>
      <c r="J36" s="157">
        <f>H36-G36</f>
        <v>33754</v>
      </c>
      <c r="K36" s="158">
        <f>H36/H$8</f>
        <v>0.26077400707505116</v>
      </c>
      <c r="L36" s="107"/>
      <c r="M36" s="107"/>
      <c r="N36" s="107"/>
    </row>
    <row r="37" spans="2:14" x14ac:dyDescent="0.25">
      <c r="B37" s="159" t="s">
        <v>102</v>
      </c>
      <c r="C37" s="160">
        <v>51760</v>
      </c>
      <c r="D37" s="160">
        <v>83468</v>
      </c>
      <c r="E37" s="160">
        <v>124091</v>
      </c>
      <c r="F37" s="160">
        <v>119487</v>
      </c>
      <c r="G37" s="160">
        <v>114632</v>
      </c>
      <c r="H37" s="160">
        <v>118257</v>
      </c>
      <c r="I37" s="161">
        <f>IFERROR(H37/G37-1,"-")</f>
        <v>3.1622932514481228E-2</v>
      </c>
      <c r="J37" s="160">
        <f t="shared" ref="J37:J47" si="12">H37-G37</f>
        <v>3625</v>
      </c>
      <c r="K37" s="161">
        <f>H37/H$8</f>
        <v>2.1693484891955411E-2</v>
      </c>
    </row>
    <row r="38" spans="2:14" x14ac:dyDescent="0.25">
      <c r="B38" s="163" t="s">
        <v>108</v>
      </c>
      <c r="C38" s="164">
        <v>24912</v>
      </c>
      <c r="D38" s="164">
        <v>43482</v>
      </c>
      <c r="E38" s="164">
        <v>48234</v>
      </c>
      <c r="F38" s="164">
        <v>52610</v>
      </c>
      <c r="G38" s="164">
        <v>50222</v>
      </c>
      <c r="H38" s="164">
        <v>51408</v>
      </c>
      <c r="I38" s="165">
        <f>IFERROR(H38/G38-1,"-")</f>
        <v>2.3615148739596137E-2</v>
      </c>
      <c r="J38" s="164">
        <f t="shared" si="12"/>
        <v>1186</v>
      </c>
      <c r="K38" s="165">
        <f>H38/H$8</f>
        <v>9.4304664529426922E-3</v>
      </c>
    </row>
    <row r="39" spans="2:14" x14ac:dyDescent="0.25">
      <c r="B39" s="163" t="s">
        <v>105</v>
      </c>
      <c r="C39" s="164">
        <v>26848</v>
      </c>
      <c r="D39" s="164">
        <v>39986</v>
      </c>
      <c r="E39" s="164">
        <v>75857</v>
      </c>
      <c r="F39" s="164">
        <v>66877</v>
      </c>
      <c r="G39" s="164">
        <v>64410</v>
      </c>
      <c r="H39" s="164">
        <v>66849</v>
      </c>
      <c r="I39" s="165">
        <f>IFERROR(H39/G39-1,"-")</f>
        <v>3.7866790870982658E-2</v>
      </c>
      <c r="J39" s="164">
        <f t="shared" si="12"/>
        <v>2439</v>
      </c>
      <c r="K39" s="165">
        <f>H39/H$8</f>
        <v>1.2263018439012721E-2</v>
      </c>
    </row>
    <row r="40" spans="2:14" x14ac:dyDescent="0.25">
      <c r="B40" s="159" t="s">
        <v>112</v>
      </c>
      <c r="C40" s="160">
        <v>323585</v>
      </c>
      <c r="D40" s="160">
        <v>408790</v>
      </c>
      <c r="E40" s="160">
        <v>1121240</v>
      </c>
      <c r="F40" s="160">
        <v>1200889</v>
      </c>
      <c r="G40" s="160">
        <v>1273163</v>
      </c>
      <c r="H40" s="160">
        <v>1303292</v>
      </c>
      <c r="I40" s="161">
        <f>IFERROR(H40/G40-1,"-")</f>
        <v>2.3664683940705089E-2</v>
      </c>
      <c r="J40" s="160">
        <f t="shared" si="12"/>
        <v>30129</v>
      </c>
      <c r="K40" s="161">
        <f>H40/H$8</f>
        <v>0.23908052218309575</v>
      </c>
    </row>
    <row r="41" spans="2:14" x14ac:dyDescent="0.25">
      <c r="B41" s="163" t="s">
        <v>115</v>
      </c>
      <c r="C41" s="164">
        <v>146501</v>
      </c>
      <c r="D41" s="164">
        <v>142606</v>
      </c>
      <c r="E41" s="164">
        <v>581865</v>
      </c>
      <c r="F41" s="164">
        <v>634686</v>
      </c>
      <c r="G41" s="164">
        <v>683651</v>
      </c>
      <c r="H41" s="164">
        <v>687259</v>
      </c>
      <c r="I41" s="165">
        <f t="shared" ref="I41:I48" si="13">IFERROR(H41/G41-1,"-")</f>
        <v>5.2775465844414615E-3</v>
      </c>
      <c r="J41" s="164">
        <f t="shared" si="12"/>
        <v>3608</v>
      </c>
      <c r="K41" s="165">
        <f t="shared" ref="K41:K48" si="14">H41/H$8</f>
        <v>0.12607323653872823</v>
      </c>
    </row>
    <row r="42" spans="2:14" x14ac:dyDescent="0.25">
      <c r="B42" s="163" t="s">
        <v>118</v>
      </c>
      <c r="C42" s="164">
        <v>16159</v>
      </c>
      <c r="D42" s="164">
        <v>21846</v>
      </c>
      <c r="E42" s="164">
        <v>39072</v>
      </c>
      <c r="F42" s="164">
        <v>45119</v>
      </c>
      <c r="G42" s="164">
        <v>44501</v>
      </c>
      <c r="H42" s="164">
        <v>50301</v>
      </c>
      <c r="I42" s="165">
        <f t="shared" si="13"/>
        <v>0.13033414979438662</v>
      </c>
      <c r="J42" s="164">
        <f t="shared" si="12"/>
        <v>5800</v>
      </c>
      <c r="K42" s="165">
        <f t="shared" si="14"/>
        <v>9.2273944337354172E-3</v>
      </c>
    </row>
    <row r="43" spans="2:14" x14ac:dyDescent="0.25">
      <c r="B43" s="163" t="s">
        <v>121</v>
      </c>
      <c r="C43" s="164">
        <v>9702</v>
      </c>
      <c r="D43" s="164">
        <v>19919</v>
      </c>
      <c r="E43" s="164">
        <v>27268</v>
      </c>
      <c r="F43" s="164">
        <v>28878</v>
      </c>
      <c r="G43" s="164">
        <v>29098</v>
      </c>
      <c r="H43" s="164">
        <v>32407</v>
      </c>
      <c r="I43" s="165">
        <f t="shared" si="13"/>
        <v>0.11371915595573578</v>
      </c>
      <c r="J43" s="164">
        <f t="shared" si="12"/>
        <v>3309</v>
      </c>
      <c r="K43" s="165">
        <f t="shared" si="14"/>
        <v>5.9448553987806142E-3</v>
      </c>
    </row>
    <row r="44" spans="2:14" x14ac:dyDescent="0.25">
      <c r="B44" s="163" t="s">
        <v>128</v>
      </c>
      <c r="C44" s="164">
        <v>15410</v>
      </c>
      <c r="D44" s="164">
        <v>30677</v>
      </c>
      <c r="E44" s="164">
        <v>57015</v>
      </c>
      <c r="F44" s="164">
        <v>55474</v>
      </c>
      <c r="G44" s="164">
        <v>57898</v>
      </c>
      <c r="H44" s="164">
        <v>53524</v>
      </c>
      <c r="I44" s="165">
        <f t="shared" si="13"/>
        <v>-7.5546651006943244E-2</v>
      </c>
      <c r="J44" s="164">
        <f t="shared" si="12"/>
        <v>-4374</v>
      </c>
      <c r="K44" s="165">
        <f t="shared" si="14"/>
        <v>9.8186330226288643E-3</v>
      </c>
    </row>
    <row r="45" spans="2:14" x14ac:dyDescent="0.25">
      <c r="B45" s="163" t="s">
        <v>124</v>
      </c>
      <c r="C45" s="164">
        <v>15534</v>
      </c>
      <c r="D45" s="164">
        <v>22807</v>
      </c>
      <c r="E45" s="164">
        <v>38767</v>
      </c>
      <c r="F45" s="164">
        <v>44183</v>
      </c>
      <c r="G45" s="164">
        <v>44633</v>
      </c>
      <c r="H45" s="164">
        <v>41189</v>
      </c>
      <c r="I45" s="165">
        <f t="shared" si="13"/>
        <v>-7.7162637510362342E-2</v>
      </c>
      <c r="J45" s="164">
        <f t="shared" si="12"/>
        <v>-3444</v>
      </c>
      <c r="K45" s="165">
        <f t="shared" si="14"/>
        <v>7.5558567291132998E-3</v>
      </c>
    </row>
    <row r="46" spans="2:14" x14ac:dyDescent="0.25">
      <c r="B46" s="163" t="s">
        <v>133</v>
      </c>
      <c r="C46" s="164">
        <v>9750</v>
      </c>
      <c r="D46" s="164">
        <v>10533</v>
      </c>
      <c r="E46" s="164">
        <v>22455</v>
      </c>
      <c r="F46" s="164">
        <v>23504</v>
      </c>
      <c r="G46" s="164">
        <v>22219</v>
      </c>
      <c r="H46" s="164">
        <v>22481</v>
      </c>
      <c r="I46" s="165">
        <f t="shared" si="13"/>
        <v>1.1791709797920769E-2</v>
      </c>
      <c r="J46" s="164">
        <f t="shared" si="12"/>
        <v>262</v>
      </c>
      <c r="K46" s="165">
        <f t="shared" si="14"/>
        <v>4.1239946375778991E-3</v>
      </c>
    </row>
    <row r="47" spans="2:14" x14ac:dyDescent="0.25">
      <c r="B47" s="163" t="s">
        <v>136</v>
      </c>
      <c r="C47" s="164">
        <v>16737</v>
      </c>
      <c r="D47" s="164">
        <v>10472</v>
      </c>
      <c r="E47" s="164">
        <v>22542</v>
      </c>
      <c r="F47" s="164">
        <v>26526</v>
      </c>
      <c r="G47" s="164">
        <v>24735</v>
      </c>
      <c r="H47" s="164">
        <v>20288</v>
      </c>
      <c r="I47" s="165">
        <f t="shared" si="13"/>
        <v>-0.17978572872447951</v>
      </c>
      <c r="J47" s="164">
        <f t="shared" si="12"/>
        <v>-4447</v>
      </c>
      <c r="K47" s="165">
        <f t="shared" si="14"/>
        <v>3.72170291389086E-3</v>
      </c>
    </row>
    <row r="48" spans="2:14" x14ac:dyDescent="0.25">
      <c r="B48" s="168" t="s">
        <v>150</v>
      </c>
      <c r="C48" s="169">
        <f t="shared" ref="C48:H48" si="15">C40-SUM(C41:C47)</f>
        <v>93792</v>
      </c>
      <c r="D48" s="169">
        <f t="shared" si="15"/>
        <v>149930</v>
      </c>
      <c r="E48" s="169">
        <f t="shared" si="15"/>
        <v>332256</v>
      </c>
      <c r="F48" s="169">
        <f t="shared" si="15"/>
        <v>342519</v>
      </c>
      <c r="G48" s="169">
        <f t="shared" si="15"/>
        <v>366428</v>
      </c>
      <c r="H48" s="169">
        <f t="shared" si="15"/>
        <v>395843</v>
      </c>
      <c r="I48" s="170">
        <f t="shared" si="13"/>
        <v>8.0274978986321965E-2</v>
      </c>
      <c r="J48" s="169">
        <f>H48-G48</f>
        <v>29415</v>
      </c>
      <c r="K48" s="170">
        <f t="shared" si="14"/>
        <v>7.2614848508640556E-2</v>
      </c>
    </row>
    <row r="49" spans="2:14" x14ac:dyDescent="0.25">
      <c r="B49" s="155" t="s">
        <v>48</v>
      </c>
      <c r="C49" s="153"/>
      <c r="D49" s="153"/>
      <c r="E49" s="153"/>
      <c r="F49" s="153"/>
      <c r="G49" s="153"/>
      <c r="H49" s="154"/>
      <c r="I49" s="154"/>
      <c r="J49" s="154"/>
      <c r="K49" s="153"/>
      <c r="L49" s="171"/>
      <c r="M49" s="171"/>
      <c r="N49" s="171"/>
    </row>
    <row r="50" spans="2:14" x14ac:dyDescent="0.25">
      <c r="B50" s="156" t="s">
        <v>73</v>
      </c>
      <c r="C50" s="157">
        <v>12633</v>
      </c>
      <c r="D50" s="157">
        <v>20161</v>
      </c>
      <c r="E50" s="157">
        <v>37751</v>
      </c>
      <c r="F50" s="157">
        <v>51211</v>
      </c>
      <c r="G50" s="157">
        <v>45051</v>
      </c>
      <c r="H50" s="157">
        <v>44435</v>
      </c>
      <c r="I50" s="158">
        <f>IFERROR(H50/G50-1,"-")</f>
        <v>-1.3673392377527738E-2</v>
      </c>
      <c r="J50" s="157">
        <f>H50-G50</f>
        <v>-616</v>
      </c>
      <c r="K50" s="158">
        <f>H50/H$8</f>
        <v>8.1513145198511619E-3</v>
      </c>
      <c r="L50" s="107"/>
      <c r="M50" s="107"/>
      <c r="N50" s="107"/>
    </row>
    <row r="51" spans="2:14" x14ac:dyDescent="0.25">
      <c r="B51" s="159" t="s">
        <v>102</v>
      </c>
      <c r="C51" s="160">
        <v>2339</v>
      </c>
      <c r="D51" s="160">
        <v>4950</v>
      </c>
      <c r="E51" s="160">
        <v>6762</v>
      </c>
      <c r="F51" s="160">
        <v>20295</v>
      </c>
      <c r="G51" s="160">
        <v>11990</v>
      </c>
      <c r="H51" s="160">
        <v>10059</v>
      </c>
      <c r="I51" s="161">
        <f>IFERROR(H51/G51-1,"-")</f>
        <v>-0.16105087572977483</v>
      </c>
      <c r="J51" s="160">
        <f t="shared" ref="J51:J61" si="16">H51-G51</f>
        <v>-1931</v>
      </c>
      <c r="K51" s="161">
        <f>H51/H$8</f>
        <v>1.8452587544769401E-3</v>
      </c>
    </row>
    <row r="52" spans="2:14" x14ac:dyDescent="0.25">
      <c r="B52" s="163" t="s">
        <v>108</v>
      </c>
      <c r="C52" s="164">
        <v>1658</v>
      </c>
      <c r="D52" s="164">
        <v>2415</v>
      </c>
      <c r="E52" s="164">
        <v>3515</v>
      </c>
      <c r="F52" s="164">
        <v>14856</v>
      </c>
      <c r="G52" s="164">
        <v>7765</v>
      </c>
      <c r="H52" s="164">
        <v>5908</v>
      </c>
      <c r="I52" s="165">
        <f>IFERROR(H52/G52-1,"-")</f>
        <v>-0.23915003219575015</v>
      </c>
      <c r="J52" s="164">
        <f t="shared" si="16"/>
        <v>-1857</v>
      </c>
      <c r="K52" s="165">
        <f>H52/H$8</f>
        <v>1.0837845433392744E-3</v>
      </c>
    </row>
    <row r="53" spans="2:14" x14ac:dyDescent="0.25">
      <c r="B53" s="163" t="s">
        <v>105</v>
      </c>
      <c r="C53" s="164">
        <v>681</v>
      </c>
      <c r="D53" s="164">
        <v>2535</v>
      </c>
      <c r="E53" s="164">
        <v>3247</v>
      </c>
      <c r="F53" s="164">
        <v>5439</v>
      </c>
      <c r="G53" s="164">
        <v>4225</v>
      </c>
      <c r="H53" s="164">
        <v>4151</v>
      </c>
      <c r="I53" s="165">
        <f>IFERROR(H53/G53-1,"-")</f>
        <v>-1.7514792899408271E-2</v>
      </c>
      <c r="J53" s="164">
        <f t="shared" si="16"/>
        <v>-74</v>
      </c>
      <c r="K53" s="165">
        <f>H53/H$8</f>
        <v>7.6147421113766556E-4</v>
      </c>
    </row>
    <row r="54" spans="2:14" x14ac:dyDescent="0.25">
      <c r="B54" s="159" t="s">
        <v>112</v>
      </c>
      <c r="C54" s="160">
        <v>10294</v>
      </c>
      <c r="D54" s="160">
        <v>15211</v>
      </c>
      <c r="E54" s="160">
        <v>30989</v>
      </c>
      <c r="F54" s="160">
        <v>30916</v>
      </c>
      <c r="G54" s="160">
        <v>33061</v>
      </c>
      <c r="H54" s="160">
        <v>34376</v>
      </c>
      <c r="I54" s="161">
        <f>IFERROR(H54/G54-1,"-")</f>
        <v>3.9774961434923428E-2</v>
      </c>
      <c r="J54" s="160">
        <f t="shared" si="16"/>
        <v>1315</v>
      </c>
      <c r="K54" s="161">
        <f>H54/H$8</f>
        <v>6.3060557653742211E-3</v>
      </c>
    </row>
    <row r="55" spans="2:14" x14ac:dyDescent="0.25">
      <c r="B55" s="163" t="s">
        <v>115</v>
      </c>
      <c r="C55" s="164">
        <v>3060</v>
      </c>
      <c r="D55" s="164">
        <v>3030</v>
      </c>
      <c r="E55" s="164">
        <v>10352</v>
      </c>
      <c r="F55" s="164">
        <v>9308</v>
      </c>
      <c r="G55" s="164">
        <v>11059</v>
      </c>
      <c r="H55" s="164">
        <v>11732</v>
      </c>
      <c r="I55" s="165">
        <f t="shared" ref="I55:I62" si="17">IFERROR(H55/G55-1,"-")</f>
        <v>6.0855411881725274E-2</v>
      </c>
      <c r="J55" s="164">
        <f t="shared" si="16"/>
        <v>673</v>
      </c>
      <c r="K55" s="165">
        <f t="shared" ref="K55:K62" si="18">H55/H$8</f>
        <v>2.152159827768512E-3</v>
      </c>
    </row>
    <row r="56" spans="2:14" x14ac:dyDescent="0.25">
      <c r="B56" s="163" t="s">
        <v>118</v>
      </c>
      <c r="C56" s="164">
        <v>2874</v>
      </c>
      <c r="D56" s="164">
        <v>5150</v>
      </c>
      <c r="E56" s="164">
        <v>6811</v>
      </c>
      <c r="F56" s="164">
        <v>6211</v>
      </c>
      <c r="G56" s="164">
        <v>6329</v>
      </c>
      <c r="H56" s="164">
        <v>6972</v>
      </c>
      <c r="I56" s="165">
        <f t="shared" si="17"/>
        <v>0.10159582872491701</v>
      </c>
      <c r="J56" s="164">
        <f t="shared" si="16"/>
        <v>643</v>
      </c>
      <c r="K56" s="165">
        <f t="shared" si="18"/>
        <v>1.2789684895330774E-3</v>
      </c>
    </row>
    <row r="57" spans="2:14" x14ac:dyDescent="0.25">
      <c r="B57" s="163" t="s">
        <v>121</v>
      </c>
      <c r="C57" s="164">
        <v>544</v>
      </c>
      <c r="D57" s="164">
        <v>1642</v>
      </c>
      <c r="E57" s="164">
        <v>2746</v>
      </c>
      <c r="F57" s="164">
        <v>2942</v>
      </c>
      <c r="G57" s="164">
        <v>2495</v>
      </c>
      <c r="H57" s="164">
        <v>2789</v>
      </c>
      <c r="I57" s="165">
        <f t="shared" si="17"/>
        <v>0.11783567134268536</v>
      </c>
      <c r="J57" s="164">
        <f t="shared" si="16"/>
        <v>294</v>
      </c>
      <c r="K57" s="165">
        <f t="shared" si="18"/>
        <v>5.1162408452492159E-4</v>
      </c>
    </row>
    <row r="58" spans="2:14" x14ac:dyDescent="0.25">
      <c r="B58" s="163" t="s">
        <v>128</v>
      </c>
      <c r="C58" s="164">
        <v>284</v>
      </c>
      <c r="D58" s="164">
        <v>377</v>
      </c>
      <c r="E58" s="164">
        <v>868</v>
      </c>
      <c r="F58" s="164">
        <v>832</v>
      </c>
      <c r="G58" s="164">
        <v>1068</v>
      </c>
      <c r="H58" s="164">
        <v>1139</v>
      </c>
      <c r="I58" s="165">
        <f t="shared" si="17"/>
        <v>6.6479400749063666E-2</v>
      </c>
      <c r="J58" s="164">
        <f t="shared" si="16"/>
        <v>71</v>
      </c>
      <c r="K58" s="165">
        <f t="shared" si="18"/>
        <v>2.0894221307776465E-4</v>
      </c>
    </row>
    <row r="59" spans="2:14" x14ac:dyDescent="0.25">
      <c r="B59" s="163" t="s">
        <v>124</v>
      </c>
      <c r="C59" s="164">
        <v>229</v>
      </c>
      <c r="D59" s="164">
        <v>476</v>
      </c>
      <c r="E59" s="164">
        <v>657</v>
      </c>
      <c r="F59" s="164">
        <v>709</v>
      </c>
      <c r="G59" s="164">
        <v>744</v>
      </c>
      <c r="H59" s="164">
        <v>922</v>
      </c>
      <c r="I59" s="165">
        <f t="shared" si="17"/>
        <v>0.239247311827957</v>
      </c>
      <c r="J59" s="164">
        <f t="shared" si="16"/>
        <v>178</v>
      </c>
      <c r="K59" s="165">
        <f t="shared" si="18"/>
        <v>1.691349608935022E-4</v>
      </c>
    </row>
    <row r="60" spans="2:14" x14ac:dyDescent="0.25">
      <c r="B60" s="163" t="s">
        <v>133</v>
      </c>
      <c r="C60" s="164">
        <v>136</v>
      </c>
      <c r="D60" s="164">
        <v>98</v>
      </c>
      <c r="E60" s="164">
        <v>136</v>
      </c>
      <c r="F60" s="164">
        <v>243</v>
      </c>
      <c r="G60" s="164">
        <v>145</v>
      </c>
      <c r="H60" s="164">
        <v>208</v>
      </c>
      <c r="I60" s="165">
        <f t="shared" si="17"/>
        <v>0.43448275862068964</v>
      </c>
      <c r="J60" s="164">
        <f t="shared" si="16"/>
        <v>63</v>
      </c>
      <c r="K60" s="165">
        <f t="shared" si="18"/>
        <v>3.8156260158187052E-5</v>
      </c>
    </row>
    <row r="61" spans="2:14" x14ac:dyDescent="0.25">
      <c r="B61" s="163" t="s">
        <v>136</v>
      </c>
      <c r="C61" s="164">
        <v>217</v>
      </c>
      <c r="D61" s="164">
        <v>91</v>
      </c>
      <c r="E61" s="164">
        <v>153</v>
      </c>
      <c r="F61" s="164">
        <v>195</v>
      </c>
      <c r="G61" s="164">
        <v>160</v>
      </c>
      <c r="H61" s="164">
        <v>480</v>
      </c>
      <c r="I61" s="165">
        <f t="shared" si="17"/>
        <v>2</v>
      </c>
      <c r="J61" s="164">
        <f t="shared" si="16"/>
        <v>320</v>
      </c>
      <c r="K61" s="165">
        <f t="shared" si="18"/>
        <v>8.8052908057354736E-5</v>
      </c>
    </row>
    <row r="62" spans="2:14" x14ac:dyDescent="0.25">
      <c r="B62" s="168" t="s">
        <v>150</v>
      </c>
      <c r="C62" s="169">
        <f t="shared" ref="C62:H62" si="19">C54-SUM(C55:C61)</f>
        <v>2950</v>
      </c>
      <c r="D62" s="169">
        <f t="shared" si="19"/>
        <v>4347</v>
      </c>
      <c r="E62" s="169">
        <f t="shared" si="19"/>
        <v>9266</v>
      </c>
      <c r="F62" s="169">
        <f t="shared" si="19"/>
        <v>10476</v>
      </c>
      <c r="G62" s="169">
        <f t="shared" si="19"/>
        <v>11061</v>
      </c>
      <c r="H62" s="169">
        <f t="shared" si="19"/>
        <v>10134</v>
      </c>
      <c r="I62" s="170">
        <f t="shared" si="17"/>
        <v>-8.3807973962571225E-2</v>
      </c>
      <c r="J62" s="169">
        <f>H62-G62</f>
        <v>-927</v>
      </c>
      <c r="K62" s="170">
        <f t="shared" si="18"/>
        <v>1.8590170213609017E-3</v>
      </c>
    </row>
    <row r="63" spans="2:14" x14ac:dyDescent="0.25">
      <c r="B63" s="155" t="s">
        <v>49</v>
      </c>
      <c r="C63" s="153"/>
      <c r="D63" s="153"/>
      <c r="E63" s="153"/>
      <c r="F63" s="153"/>
      <c r="G63" s="153"/>
      <c r="H63" s="154"/>
      <c r="I63" s="154"/>
      <c r="J63" s="154"/>
      <c r="K63" s="153"/>
      <c r="L63" s="171"/>
      <c r="M63" s="171"/>
      <c r="N63" s="171"/>
    </row>
    <row r="64" spans="2:14" x14ac:dyDescent="0.25">
      <c r="B64" s="156" t="s">
        <v>73</v>
      </c>
      <c r="C64" s="157">
        <v>55313</v>
      </c>
      <c r="D64" s="157">
        <v>70304</v>
      </c>
      <c r="E64" s="157">
        <v>161080</v>
      </c>
      <c r="F64" s="157">
        <v>173648</v>
      </c>
      <c r="G64" s="157">
        <v>231856</v>
      </c>
      <c r="H64" s="157">
        <v>188676</v>
      </c>
      <c r="I64" s="158">
        <f>IFERROR(H64/G64-1,"-")</f>
        <v>-0.1862362845904354</v>
      </c>
      <c r="J64" s="157">
        <f>H64-G64</f>
        <v>-43180</v>
      </c>
      <c r="K64" s="158">
        <f>H64/H$8</f>
        <v>3.461139683464471E-2</v>
      </c>
      <c r="L64" s="107"/>
      <c r="M64" s="107"/>
      <c r="N64" s="107"/>
    </row>
    <row r="65" spans="2:14" x14ac:dyDescent="0.25">
      <c r="B65" s="159" t="s">
        <v>102</v>
      </c>
      <c r="C65" s="160">
        <v>24273</v>
      </c>
      <c r="D65" s="160">
        <v>26311</v>
      </c>
      <c r="E65" s="160">
        <v>32375</v>
      </c>
      <c r="F65" s="160">
        <v>43847</v>
      </c>
      <c r="G65" s="160">
        <v>61312</v>
      </c>
      <c r="H65" s="160">
        <v>42953</v>
      </c>
      <c r="I65" s="161">
        <f>IFERROR(H65/G65-1,"-")</f>
        <v>-0.29943567327766174</v>
      </c>
      <c r="J65" s="160">
        <f t="shared" ref="J65:J75" si="20">H65-G65</f>
        <v>-18359</v>
      </c>
      <c r="K65" s="161">
        <f>H65/H$8</f>
        <v>7.8794511662240788E-3</v>
      </c>
    </row>
    <row r="66" spans="2:14" x14ac:dyDescent="0.25">
      <c r="B66" s="163" t="s">
        <v>108</v>
      </c>
      <c r="C66" s="164">
        <v>8930</v>
      </c>
      <c r="D66" s="164">
        <v>21567</v>
      </c>
      <c r="E66" s="164">
        <v>23338</v>
      </c>
      <c r="F66" s="164">
        <v>29399</v>
      </c>
      <c r="G66" s="164">
        <v>37562</v>
      </c>
      <c r="H66" s="164">
        <v>16499</v>
      </c>
      <c r="I66" s="165">
        <f>IFERROR(H66/G66-1,"-")</f>
        <v>-0.56075288855758476</v>
      </c>
      <c r="J66" s="164">
        <f t="shared" si="20"/>
        <v>-21063</v>
      </c>
      <c r="K66" s="165">
        <f>H66/H$8</f>
        <v>3.0266352709131159E-3</v>
      </c>
    </row>
    <row r="67" spans="2:14" x14ac:dyDescent="0.25">
      <c r="B67" s="163" t="s">
        <v>105</v>
      </c>
      <c r="C67" s="164">
        <v>15343</v>
      </c>
      <c r="D67" s="164">
        <v>4744</v>
      </c>
      <c r="E67" s="164">
        <v>9037</v>
      </c>
      <c r="F67" s="164">
        <v>14448</v>
      </c>
      <c r="G67" s="164">
        <v>23750</v>
      </c>
      <c r="H67" s="164">
        <v>26454</v>
      </c>
      <c r="I67" s="165">
        <f>IFERROR(H67/G67-1,"-")</f>
        <v>0.11385263157894743</v>
      </c>
      <c r="J67" s="164">
        <f t="shared" si="20"/>
        <v>2704</v>
      </c>
      <c r="K67" s="165">
        <f>H67/H$8</f>
        <v>4.8528158953109624E-3</v>
      </c>
    </row>
    <row r="68" spans="2:14" x14ac:dyDescent="0.25">
      <c r="B68" s="159" t="s">
        <v>112</v>
      </c>
      <c r="C68" s="160">
        <v>31040</v>
      </c>
      <c r="D68" s="160">
        <v>43993</v>
      </c>
      <c r="E68" s="160">
        <v>128705</v>
      </c>
      <c r="F68" s="160">
        <v>129801</v>
      </c>
      <c r="G68" s="160">
        <v>170544</v>
      </c>
      <c r="H68" s="160">
        <v>145723</v>
      </c>
      <c r="I68" s="161">
        <f>IFERROR(H68/G68-1,"-")</f>
        <v>-0.14554015386058727</v>
      </c>
      <c r="J68" s="160">
        <f t="shared" si="20"/>
        <v>-24821</v>
      </c>
      <c r="K68" s="161">
        <f>H68/H$8</f>
        <v>2.6731945668420631E-2</v>
      </c>
    </row>
    <row r="69" spans="2:14" x14ac:dyDescent="0.25">
      <c r="B69" s="163" t="s">
        <v>115</v>
      </c>
      <c r="C69" s="164">
        <v>13899</v>
      </c>
      <c r="D69" s="164">
        <v>12264</v>
      </c>
      <c r="E69" s="164">
        <v>56081</v>
      </c>
      <c r="F69" s="164">
        <v>49878</v>
      </c>
      <c r="G69" s="164">
        <v>73242</v>
      </c>
      <c r="H69" s="164">
        <v>73188</v>
      </c>
      <c r="I69" s="165">
        <f t="shared" ref="I69:I76" si="21">IFERROR(H69/G69-1,"-")</f>
        <v>-7.3728188744159873E-4</v>
      </c>
      <c r="J69" s="164">
        <f t="shared" si="20"/>
        <v>-54</v>
      </c>
      <c r="K69" s="165">
        <f t="shared" ref="K69:K76" si="22">H69/H$8</f>
        <v>1.3425867156045162E-2</v>
      </c>
    </row>
    <row r="70" spans="2:14" x14ac:dyDescent="0.25">
      <c r="B70" s="163" t="s">
        <v>118</v>
      </c>
      <c r="C70" s="164">
        <v>3374</v>
      </c>
      <c r="D70" s="164">
        <v>3586</v>
      </c>
      <c r="E70" s="164">
        <v>7748</v>
      </c>
      <c r="F70" s="164">
        <v>11641</v>
      </c>
      <c r="G70" s="164">
        <v>10731</v>
      </c>
      <c r="H70" s="164">
        <v>10632</v>
      </c>
      <c r="I70" s="165">
        <f t="shared" si="21"/>
        <v>-9.2256080514397931E-3</v>
      </c>
      <c r="J70" s="164">
        <f t="shared" si="20"/>
        <v>-99</v>
      </c>
      <c r="K70" s="165">
        <f t="shared" si="22"/>
        <v>1.9503719134704072E-3</v>
      </c>
    </row>
    <row r="71" spans="2:14" x14ac:dyDescent="0.25">
      <c r="B71" s="163" t="s">
        <v>121</v>
      </c>
      <c r="C71" s="164">
        <v>3449</v>
      </c>
      <c r="D71" s="164">
        <v>6294</v>
      </c>
      <c r="E71" s="164">
        <v>18047</v>
      </c>
      <c r="F71" s="164">
        <v>14569</v>
      </c>
      <c r="G71" s="164">
        <v>19123</v>
      </c>
      <c r="H71" s="164">
        <v>9824</v>
      </c>
      <c r="I71" s="165">
        <f t="shared" si="21"/>
        <v>-0.48627307430842437</v>
      </c>
      <c r="J71" s="164">
        <f t="shared" si="20"/>
        <v>-9299</v>
      </c>
      <c r="K71" s="165">
        <f t="shared" si="22"/>
        <v>1.8021495182405267E-3</v>
      </c>
    </row>
    <row r="72" spans="2:14" x14ac:dyDescent="0.25">
      <c r="B72" s="163" t="s">
        <v>128</v>
      </c>
      <c r="C72" s="164">
        <v>536</v>
      </c>
      <c r="D72" s="164">
        <v>3888</v>
      </c>
      <c r="E72" s="164">
        <v>3396</v>
      </c>
      <c r="F72" s="164">
        <v>3919</v>
      </c>
      <c r="G72" s="164">
        <v>6454</v>
      </c>
      <c r="H72" s="164">
        <v>5695</v>
      </c>
      <c r="I72" s="165">
        <f t="shared" si="21"/>
        <v>-0.1176014874496436</v>
      </c>
      <c r="J72" s="164">
        <f t="shared" si="20"/>
        <v>-759</v>
      </c>
      <c r="K72" s="165">
        <f t="shared" si="22"/>
        <v>1.0447110653888233E-3</v>
      </c>
    </row>
    <row r="73" spans="2:14" x14ac:dyDescent="0.25">
      <c r="B73" s="163" t="s">
        <v>124</v>
      </c>
      <c r="C73" s="164">
        <v>1278</v>
      </c>
      <c r="D73" s="164">
        <v>1635</v>
      </c>
      <c r="E73" s="164">
        <v>3248</v>
      </c>
      <c r="F73" s="164">
        <v>2240</v>
      </c>
      <c r="G73" s="164">
        <v>4219</v>
      </c>
      <c r="H73" s="164">
        <v>3080</v>
      </c>
      <c r="I73" s="165">
        <f t="shared" si="21"/>
        <v>-0.26996918701114003</v>
      </c>
      <c r="J73" s="164">
        <f t="shared" si="20"/>
        <v>-1139</v>
      </c>
      <c r="K73" s="165">
        <f t="shared" si="22"/>
        <v>5.650061600346928E-4</v>
      </c>
    </row>
    <row r="74" spans="2:14" x14ac:dyDescent="0.25">
      <c r="B74" s="163" t="s">
        <v>133</v>
      </c>
      <c r="C74" s="164">
        <v>686</v>
      </c>
      <c r="D74" s="164">
        <v>1848</v>
      </c>
      <c r="E74" s="164">
        <v>2875</v>
      </c>
      <c r="F74" s="164">
        <v>3767</v>
      </c>
      <c r="G74" s="164">
        <v>3186</v>
      </c>
      <c r="H74" s="164">
        <v>2152</v>
      </c>
      <c r="I74" s="165">
        <f t="shared" si="21"/>
        <v>-0.32454488386691771</v>
      </c>
      <c r="J74" s="164">
        <f t="shared" si="20"/>
        <v>-1034</v>
      </c>
      <c r="K74" s="165">
        <f t="shared" si="22"/>
        <v>3.9477053779047368E-4</v>
      </c>
    </row>
    <row r="75" spans="2:14" x14ac:dyDescent="0.25">
      <c r="B75" s="163" t="s">
        <v>136</v>
      </c>
      <c r="C75" s="164">
        <v>932</v>
      </c>
      <c r="D75" s="164">
        <v>363</v>
      </c>
      <c r="E75" s="164">
        <v>967</v>
      </c>
      <c r="F75" s="164">
        <v>1109</v>
      </c>
      <c r="G75" s="164">
        <v>3135</v>
      </c>
      <c r="H75" s="164">
        <v>3206</v>
      </c>
      <c r="I75" s="165">
        <f t="shared" si="21"/>
        <v>2.2647527910685916E-2</v>
      </c>
      <c r="J75" s="164">
        <f t="shared" si="20"/>
        <v>71</v>
      </c>
      <c r="K75" s="165">
        <f t="shared" si="22"/>
        <v>5.8812004839974843E-4</v>
      </c>
    </row>
    <row r="76" spans="2:14" x14ac:dyDescent="0.25">
      <c r="B76" s="168" t="s">
        <v>150</v>
      </c>
      <c r="C76" s="169">
        <f t="shared" ref="C76:H76" si="23">C68-SUM(C69:C75)</f>
        <v>6886</v>
      </c>
      <c r="D76" s="169">
        <f t="shared" si="23"/>
        <v>14115</v>
      </c>
      <c r="E76" s="169">
        <f t="shared" si="23"/>
        <v>36343</v>
      </c>
      <c r="F76" s="169">
        <f t="shared" si="23"/>
        <v>42678</v>
      </c>
      <c r="G76" s="169">
        <f t="shared" si="23"/>
        <v>50454</v>
      </c>
      <c r="H76" s="169">
        <f t="shared" si="23"/>
        <v>37946</v>
      </c>
      <c r="I76" s="170">
        <f t="shared" si="21"/>
        <v>-0.2479089864034566</v>
      </c>
      <c r="J76" s="169">
        <f>H76-G76</f>
        <v>-12508</v>
      </c>
      <c r="K76" s="170">
        <f t="shared" si="22"/>
        <v>6.9609492690507974E-3</v>
      </c>
    </row>
    <row r="77" spans="2:14" x14ac:dyDescent="0.25">
      <c r="B77" s="155" t="s">
        <v>50</v>
      </c>
      <c r="C77" s="153"/>
      <c r="D77" s="153"/>
      <c r="E77" s="153"/>
      <c r="F77" s="153"/>
      <c r="G77" s="153"/>
      <c r="H77" s="154"/>
      <c r="I77" s="154"/>
      <c r="J77" s="154"/>
      <c r="K77" s="153"/>
      <c r="L77" s="171"/>
      <c r="M77" s="171"/>
      <c r="N77" s="171"/>
    </row>
    <row r="78" spans="2:14" x14ac:dyDescent="0.25">
      <c r="B78" s="156" t="s">
        <v>73</v>
      </c>
      <c r="C78" s="157">
        <v>225835</v>
      </c>
      <c r="D78" s="157">
        <v>354204</v>
      </c>
      <c r="E78" s="157">
        <v>710789</v>
      </c>
      <c r="F78" s="157">
        <v>800263</v>
      </c>
      <c r="G78" s="157">
        <v>915958</v>
      </c>
      <c r="H78" s="157">
        <v>937396</v>
      </c>
      <c r="I78" s="158">
        <f>IFERROR(H78/G78-1,"-")</f>
        <v>2.3405003286176784E-2</v>
      </c>
      <c r="J78" s="157">
        <f>H78-G78</f>
        <v>21438</v>
      </c>
      <c r="K78" s="158">
        <f>H78/H$8</f>
        <v>0.17195925791944186</v>
      </c>
      <c r="L78" s="107"/>
      <c r="M78" s="107"/>
      <c r="N78" s="107"/>
    </row>
    <row r="79" spans="2:14" x14ac:dyDescent="0.25">
      <c r="B79" s="159" t="s">
        <v>102</v>
      </c>
      <c r="C79" s="160">
        <v>103133</v>
      </c>
      <c r="D79" s="160">
        <v>181693</v>
      </c>
      <c r="E79" s="160">
        <v>342907</v>
      </c>
      <c r="F79" s="160">
        <v>343297</v>
      </c>
      <c r="G79" s="160">
        <v>382439</v>
      </c>
      <c r="H79" s="160">
        <v>398420</v>
      </c>
      <c r="I79" s="161">
        <f>IFERROR(H79/G79-1,"-")</f>
        <v>4.1787056236419318E-2</v>
      </c>
      <c r="J79" s="160">
        <f t="shared" ref="J79:J89" si="24">H79-G79</f>
        <v>15981</v>
      </c>
      <c r="K79" s="161">
        <f>H79/H$8</f>
        <v>7.3087582558773484E-2</v>
      </c>
    </row>
    <row r="80" spans="2:14" x14ac:dyDescent="0.25">
      <c r="B80" s="163" t="s">
        <v>108</v>
      </c>
      <c r="C80" s="164">
        <v>28320</v>
      </c>
      <c r="D80" s="164">
        <v>66989</v>
      </c>
      <c r="E80" s="164">
        <v>97955</v>
      </c>
      <c r="F80" s="164">
        <v>92865</v>
      </c>
      <c r="G80" s="164">
        <v>106402</v>
      </c>
      <c r="H80" s="164">
        <v>104050</v>
      </c>
      <c r="I80" s="165">
        <f>IFERROR(H80/G80-1,"-")</f>
        <v>-2.2104847653239612E-2</v>
      </c>
      <c r="J80" s="164">
        <f t="shared" si="24"/>
        <v>-2352</v>
      </c>
      <c r="K80" s="165">
        <f>H80/H$8</f>
        <v>1.9087302257016166E-2</v>
      </c>
    </row>
    <row r="81" spans="2:14" x14ac:dyDescent="0.25">
      <c r="B81" s="163" t="s">
        <v>105</v>
      </c>
      <c r="C81" s="164">
        <v>74813</v>
      </c>
      <c r="D81" s="164">
        <v>114704</v>
      </c>
      <c r="E81" s="164">
        <v>244952</v>
      </c>
      <c r="F81" s="164">
        <v>250432</v>
      </c>
      <c r="G81" s="164">
        <v>276037</v>
      </c>
      <c r="H81" s="164">
        <v>294370</v>
      </c>
      <c r="I81" s="165">
        <f>IFERROR(H81/G81-1,"-")</f>
        <v>6.6415009582048823E-2</v>
      </c>
      <c r="J81" s="164">
        <f t="shared" si="24"/>
        <v>18333</v>
      </c>
      <c r="K81" s="165">
        <f>H81/H$8</f>
        <v>5.4000280301757318E-2</v>
      </c>
    </row>
    <row r="82" spans="2:14" x14ac:dyDescent="0.25">
      <c r="B82" s="159" t="s">
        <v>112</v>
      </c>
      <c r="C82" s="160">
        <v>122702</v>
      </c>
      <c r="D82" s="160">
        <v>172511</v>
      </c>
      <c r="E82" s="160">
        <v>367882</v>
      </c>
      <c r="F82" s="160">
        <v>456966</v>
      </c>
      <c r="G82" s="160">
        <v>533519</v>
      </c>
      <c r="H82" s="160">
        <v>538976</v>
      </c>
      <c r="I82" s="161">
        <f>IFERROR(H82/G82-1,"-")</f>
        <v>1.0228314268095451E-2</v>
      </c>
      <c r="J82" s="160">
        <f t="shared" si="24"/>
        <v>5457</v>
      </c>
      <c r="K82" s="161">
        <f>H82/H$8</f>
        <v>9.8871675360668376E-2</v>
      </c>
    </row>
    <row r="83" spans="2:14" x14ac:dyDescent="0.25">
      <c r="B83" s="163" t="s">
        <v>115</v>
      </c>
      <c r="C83" s="164">
        <v>21332</v>
      </c>
      <c r="D83" s="164">
        <v>16695</v>
      </c>
      <c r="E83" s="164">
        <v>71554</v>
      </c>
      <c r="F83" s="164">
        <v>94350</v>
      </c>
      <c r="G83" s="164">
        <v>110535</v>
      </c>
      <c r="H83" s="164">
        <v>115762</v>
      </c>
      <c r="I83" s="165">
        <f t="shared" ref="I83:I90" si="25">IFERROR(H83/G83-1,"-")</f>
        <v>4.7288189261319946E-2</v>
      </c>
      <c r="J83" s="164">
        <f t="shared" si="24"/>
        <v>5227</v>
      </c>
      <c r="K83" s="165">
        <f t="shared" ref="K83:K90" si="26">H83/H$8</f>
        <v>2.1235793213615621E-2</v>
      </c>
    </row>
    <row r="84" spans="2:14" x14ac:dyDescent="0.25">
      <c r="B84" s="163" t="s">
        <v>118</v>
      </c>
      <c r="C84" s="164">
        <v>39522</v>
      </c>
      <c r="D84" s="164">
        <v>53227</v>
      </c>
      <c r="E84" s="164">
        <v>113120</v>
      </c>
      <c r="F84" s="164">
        <v>127790</v>
      </c>
      <c r="G84" s="164">
        <v>142028</v>
      </c>
      <c r="H84" s="164">
        <v>139475</v>
      </c>
      <c r="I84" s="165">
        <f t="shared" si="25"/>
        <v>-1.7975328808404023E-2</v>
      </c>
      <c r="J84" s="164">
        <f t="shared" si="24"/>
        <v>-2553</v>
      </c>
      <c r="K84" s="165">
        <f t="shared" si="26"/>
        <v>2.5585790315207399E-2</v>
      </c>
    </row>
    <row r="85" spans="2:14" x14ac:dyDescent="0.25">
      <c r="B85" s="163" t="s">
        <v>121</v>
      </c>
      <c r="C85" s="164">
        <v>8286</v>
      </c>
      <c r="D85" s="164">
        <v>19927</v>
      </c>
      <c r="E85" s="164">
        <v>30758</v>
      </c>
      <c r="F85" s="164">
        <v>42427</v>
      </c>
      <c r="G85" s="164">
        <v>58007</v>
      </c>
      <c r="H85" s="164">
        <v>57115</v>
      </c>
      <c r="I85" s="165">
        <f t="shared" si="25"/>
        <v>-1.5377454445153149E-2</v>
      </c>
      <c r="J85" s="164">
        <f t="shared" si="24"/>
        <v>-892</v>
      </c>
      <c r="K85" s="165">
        <f t="shared" si="26"/>
        <v>1.0477378841032949E-2</v>
      </c>
    </row>
    <row r="86" spans="2:14" x14ac:dyDescent="0.25">
      <c r="B86" s="163" t="s">
        <v>128</v>
      </c>
      <c r="C86" s="164">
        <v>2074</v>
      </c>
      <c r="D86" s="164">
        <v>5996</v>
      </c>
      <c r="E86" s="164">
        <v>10713</v>
      </c>
      <c r="F86" s="164">
        <v>13075</v>
      </c>
      <c r="G86" s="164">
        <v>18571</v>
      </c>
      <c r="H86" s="164">
        <v>15989</v>
      </c>
      <c r="I86" s="165">
        <f t="shared" si="25"/>
        <v>-0.13903397770717785</v>
      </c>
      <c r="J86" s="164">
        <f t="shared" si="24"/>
        <v>-2582</v>
      </c>
      <c r="K86" s="165">
        <f t="shared" si="26"/>
        <v>2.9330790561021766E-3</v>
      </c>
    </row>
    <row r="87" spans="2:14" x14ac:dyDescent="0.25">
      <c r="B87" s="163" t="s">
        <v>124</v>
      </c>
      <c r="C87" s="164">
        <v>2082</v>
      </c>
      <c r="D87" s="164">
        <v>5201</v>
      </c>
      <c r="E87" s="164">
        <v>5872</v>
      </c>
      <c r="F87" s="164">
        <v>7046</v>
      </c>
      <c r="G87" s="164">
        <v>8921</v>
      </c>
      <c r="H87" s="164">
        <v>9558</v>
      </c>
      <c r="I87" s="165">
        <f t="shared" si="25"/>
        <v>7.1404551059298216E-2</v>
      </c>
      <c r="J87" s="164">
        <f t="shared" si="24"/>
        <v>637</v>
      </c>
      <c r="K87" s="165">
        <f t="shared" si="26"/>
        <v>1.753353531692076E-3</v>
      </c>
    </row>
    <row r="88" spans="2:14" x14ac:dyDescent="0.25">
      <c r="B88" s="163" t="s">
        <v>133</v>
      </c>
      <c r="C88" s="164">
        <v>3046</v>
      </c>
      <c r="D88" s="164">
        <v>2575</v>
      </c>
      <c r="E88" s="164">
        <v>7581</v>
      </c>
      <c r="F88" s="164">
        <v>8522</v>
      </c>
      <c r="G88" s="164">
        <v>7390</v>
      </c>
      <c r="H88" s="164">
        <v>7981</v>
      </c>
      <c r="I88" s="165">
        <f t="shared" si="25"/>
        <v>7.9972936400541261E-2</v>
      </c>
      <c r="J88" s="164">
        <f t="shared" si="24"/>
        <v>591</v>
      </c>
      <c r="K88" s="165">
        <f t="shared" si="26"/>
        <v>1.4640630400119751E-3</v>
      </c>
    </row>
    <row r="89" spans="2:14" x14ac:dyDescent="0.25">
      <c r="B89" s="163" t="s">
        <v>136</v>
      </c>
      <c r="C89" s="164">
        <v>4839</v>
      </c>
      <c r="D89" s="164">
        <v>2819</v>
      </c>
      <c r="E89" s="164">
        <v>7599</v>
      </c>
      <c r="F89" s="164">
        <v>9971</v>
      </c>
      <c r="G89" s="164">
        <v>9581</v>
      </c>
      <c r="H89" s="164">
        <v>7579</v>
      </c>
      <c r="I89" s="165">
        <f t="shared" si="25"/>
        <v>-0.20895522388059706</v>
      </c>
      <c r="J89" s="164">
        <f t="shared" si="24"/>
        <v>-2002</v>
      </c>
      <c r="K89" s="165">
        <f t="shared" si="26"/>
        <v>1.3903187295139406E-3</v>
      </c>
    </row>
    <row r="90" spans="2:14" x14ac:dyDescent="0.25">
      <c r="B90" s="168" t="s">
        <v>150</v>
      </c>
      <c r="C90" s="169">
        <f t="shared" ref="C90:H90" si="27">C82-SUM(C83:C89)</f>
        <v>41521</v>
      </c>
      <c r="D90" s="169">
        <f t="shared" si="27"/>
        <v>66071</v>
      </c>
      <c r="E90" s="169">
        <f t="shared" si="27"/>
        <v>120685</v>
      </c>
      <c r="F90" s="169">
        <f t="shared" si="27"/>
        <v>153785</v>
      </c>
      <c r="G90" s="169">
        <f t="shared" si="27"/>
        <v>178486</v>
      </c>
      <c r="H90" s="169">
        <f t="shared" si="27"/>
        <v>185517</v>
      </c>
      <c r="I90" s="170">
        <f t="shared" si="25"/>
        <v>3.93924453458534E-2</v>
      </c>
      <c r="J90" s="169">
        <f>H90-G90</f>
        <v>7031</v>
      </c>
      <c r="K90" s="170">
        <f t="shared" si="26"/>
        <v>3.4031898633492243E-2</v>
      </c>
    </row>
    <row r="91" spans="2:14" x14ac:dyDescent="0.25">
      <c r="B91" s="155" t="s">
        <v>51</v>
      </c>
      <c r="C91" s="153"/>
      <c r="D91" s="153"/>
      <c r="E91" s="153"/>
      <c r="F91" s="153"/>
      <c r="G91" s="153"/>
      <c r="H91" s="154"/>
      <c r="I91" s="154"/>
      <c r="J91" s="154"/>
      <c r="K91" s="153"/>
      <c r="L91" s="171"/>
      <c r="M91" s="171"/>
      <c r="N91" s="171"/>
    </row>
    <row r="92" spans="2:14" x14ac:dyDescent="0.25">
      <c r="B92" s="156" t="s">
        <v>73</v>
      </c>
      <c r="C92" s="157">
        <v>24221</v>
      </c>
      <c r="D92" s="157">
        <v>33444</v>
      </c>
      <c r="E92" s="157">
        <v>51485</v>
      </c>
      <c r="F92" s="157">
        <v>58157</v>
      </c>
      <c r="G92" s="157">
        <v>57388</v>
      </c>
      <c r="H92" s="157">
        <v>56585</v>
      </c>
      <c r="I92" s="158">
        <f>IFERROR(H92/G92-1,"-")</f>
        <v>-1.3992472293859359E-2</v>
      </c>
      <c r="J92" s="157">
        <f>H92-G92</f>
        <v>-803</v>
      </c>
      <c r="K92" s="158">
        <f>H92/H$8</f>
        <v>1.0380153755052952E-2</v>
      </c>
      <c r="L92" s="107"/>
      <c r="M92" s="107"/>
      <c r="N92" s="107"/>
    </row>
    <row r="93" spans="2:14" x14ac:dyDescent="0.25">
      <c r="B93" s="159" t="s">
        <v>102</v>
      </c>
      <c r="C93" s="160">
        <v>16023</v>
      </c>
      <c r="D93" s="160">
        <v>21732</v>
      </c>
      <c r="E93" s="160">
        <v>33809</v>
      </c>
      <c r="F93" s="160">
        <v>37722</v>
      </c>
      <c r="G93" s="160">
        <v>35821</v>
      </c>
      <c r="H93" s="160">
        <v>35565</v>
      </c>
      <c r="I93" s="161">
        <f>IFERROR(H93/G93-1,"-")</f>
        <v>-7.146645822282971E-3</v>
      </c>
      <c r="J93" s="160">
        <f t="shared" ref="J93:J103" si="28">H93-G93</f>
        <v>-256</v>
      </c>
      <c r="K93" s="161">
        <f>H93/H$8</f>
        <v>6.5241701563746269E-3</v>
      </c>
    </row>
    <row r="94" spans="2:14" x14ac:dyDescent="0.25">
      <c r="B94" s="163" t="s">
        <v>108</v>
      </c>
      <c r="C94" s="164">
        <v>8684</v>
      </c>
      <c r="D94" s="164">
        <v>11001</v>
      </c>
      <c r="E94" s="164">
        <v>16289</v>
      </c>
      <c r="F94" s="164">
        <v>12024</v>
      </c>
      <c r="G94" s="164">
        <v>11877</v>
      </c>
      <c r="H94" s="164">
        <v>13687</v>
      </c>
      <c r="I94" s="165">
        <f>IFERROR(H94/G94-1,"-")</f>
        <v>0.15239538604024583</v>
      </c>
      <c r="J94" s="164">
        <f t="shared" si="28"/>
        <v>1810</v>
      </c>
      <c r="K94" s="165">
        <f>H94/H$8</f>
        <v>2.5107919845437795E-3</v>
      </c>
    </row>
    <row r="95" spans="2:14" x14ac:dyDescent="0.25">
      <c r="B95" s="163" t="s">
        <v>105</v>
      </c>
      <c r="C95" s="164">
        <v>7339</v>
      </c>
      <c r="D95" s="164">
        <v>10731</v>
      </c>
      <c r="E95" s="164">
        <v>17520</v>
      </c>
      <c r="F95" s="164">
        <v>25698</v>
      </c>
      <c r="G95" s="164">
        <v>23944</v>
      </c>
      <c r="H95" s="164">
        <v>21878</v>
      </c>
      <c r="I95" s="165">
        <f>IFERROR(H95/G95-1,"-")</f>
        <v>-8.6284664216505158E-2</v>
      </c>
      <c r="J95" s="164">
        <f t="shared" si="28"/>
        <v>-2066</v>
      </c>
      <c r="K95" s="165">
        <f>H95/H$8</f>
        <v>4.013378171830847E-3</v>
      </c>
    </row>
    <row r="96" spans="2:14" x14ac:dyDescent="0.25">
      <c r="B96" s="159" t="s">
        <v>112</v>
      </c>
      <c r="C96" s="160">
        <v>8198</v>
      </c>
      <c r="D96" s="160">
        <v>11712</v>
      </c>
      <c r="E96" s="160">
        <v>17676</v>
      </c>
      <c r="F96" s="160">
        <v>20435</v>
      </c>
      <c r="G96" s="160">
        <v>21567</v>
      </c>
      <c r="H96" s="160">
        <v>21020</v>
      </c>
      <c r="I96" s="161">
        <f>IFERROR(H96/G96-1,"-")</f>
        <v>-2.5362822831177301E-2</v>
      </c>
      <c r="J96" s="160">
        <f t="shared" si="28"/>
        <v>-547</v>
      </c>
      <c r="K96" s="161">
        <f>H96/H$8</f>
        <v>3.855983598678326E-3</v>
      </c>
    </row>
    <row r="97" spans="2:14" x14ac:dyDescent="0.25">
      <c r="B97" s="163" t="s">
        <v>115</v>
      </c>
      <c r="C97" s="164">
        <v>1288</v>
      </c>
      <c r="D97" s="164">
        <v>921</v>
      </c>
      <c r="E97" s="164">
        <v>2403</v>
      </c>
      <c r="F97" s="164">
        <v>2795</v>
      </c>
      <c r="G97" s="164">
        <v>3030</v>
      </c>
      <c r="H97" s="164">
        <v>2551</v>
      </c>
      <c r="I97" s="165">
        <f t="shared" ref="I97:I104" si="29">IFERROR(H97/G97-1,"-")</f>
        <v>-0.15808580858085808</v>
      </c>
      <c r="J97" s="164">
        <f t="shared" si="28"/>
        <v>-479</v>
      </c>
      <c r="K97" s="165">
        <f t="shared" ref="K97:K104" si="30">H97/H$8</f>
        <v>4.6796451761314985E-4</v>
      </c>
    </row>
    <row r="98" spans="2:14" x14ac:dyDescent="0.25">
      <c r="B98" s="163" t="s">
        <v>118</v>
      </c>
      <c r="C98" s="164">
        <v>1481</v>
      </c>
      <c r="D98" s="164">
        <v>2395</v>
      </c>
      <c r="E98" s="164">
        <v>3482</v>
      </c>
      <c r="F98" s="164">
        <v>3814</v>
      </c>
      <c r="G98" s="164">
        <v>4234</v>
      </c>
      <c r="H98" s="164">
        <v>3931</v>
      </c>
      <c r="I98" s="165">
        <f t="shared" si="29"/>
        <v>-7.1563533301842175E-2</v>
      </c>
      <c r="J98" s="164">
        <f t="shared" si="28"/>
        <v>-303</v>
      </c>
      <c r="K98" s="165">
        <f t="shared" si="30"/>
        <v>7.2111662827804466E-4</v>
      </c>
    </row>
    <row r="99" spans="2:14" x14ac:dyDescent="0.25">
      <c r="B99" s="163" t="s">
        <v>121</v>
      </c>
      <c r="C99" s="164">
        <v>1974</v>
      </c>
      <c r="D99" s="164">
        <v>3541</v>
      </c>
      <c r="E99" s="164">
        <v>3412</v>
      </c>
      <c r="F99" s="164">
        <v>3885</v>
      </c>
      <c r="G99" s="164">
        <v>3685</v>
      </c>
      <c r="H99" s="164">
        <v>3701</v>
      </c>
      <c r="I99" s="165">
        <f t="shared" si="29"/>
        <v>4.3419267299864561E-3</v>
      </c>
      <c r="J99" s="164">
        <f t="shared" si="28"/>
        <v>16</v>
      </c>
      <c r="K99" s="165">
        <f t="shared" si="30"/>
        <v>6.7892460983389553E-4</v>
      </c>
    </row>
    <row r="100" spans="2:14" x14ac:dyDescent="0.25">
      <c r="B100" s="163" t="s">
        <v>128</v>
      </c>
      <c r="C100" s="164">
        <v>323</v>
      </c>
      <c r="D100" s="164">
        <v>432</v>
      </c>
      <c r="E100" s="164">
        <v>1172</v>
      </c>
      <c r="F100" s="164">
        <v>938</v>
      </c>
      <c r="G100" s="164">
        <v>933</v>
      </c>
      <c r="H100" s="164">
        <v>900</v>
      </c>
      <c r="I100" s="165">
        <f t="shared" si="29"/>
        <v>-3.5369774919614128E-2</v>
      </c>
      <c r="J100" s="164">
        <f t="shared" si="28"/>
        <v>-33</v>
      </c>
      <c r="K100" s="165">
        <f t="shared" si="30"/>
        <v>1.6509920260754011E-4</v>
      </c>
    </row>
    <row r="101" spans="2:14" x14ac:dyDescent="0.25">
      <c r="B101" s="163" t="s">
        <v>124</v>
      </c>
      <c r="C101" s="164">
        <v>351</v>
      </c>
      <c r="D101" s="164">
        <v>507</v>
      </c>
      <c r="E101" s="164">
        <v>682</v>
      </c>
      <c r="F101" s="164">
        <v>650</v>
      </c>
      <c r="G101" s="164">
        <v>903</v>
      </c>
      <c r="H101" s="164">
        <v>839</v>
      </c>
      <c r="I101" s="165">
        <f t="shared" si="29"/>
        <v>-7.0874861572535974E-2</v>
      </c>
      <c r="J101" s="164">
        <f t="shared" si="28"/>
        <v>-64</v>
      </c>
      <c r="K101" s="165">
        <f t="shared" si="30"/>
        <v>1.5390914554191796E-4</v>
      </c>
    </row>
    <row r="102" spans="2:14" x14ac:dyDescent="0.25">
      <c r="B102" s="163" t="s">
        <v>133</v>
      </c>
      <c r="C102" s="164">
        <v>124</v>
      </c>
      <c r="D102" s="164">
        <v>105</v>
      </c>
      <c r="E102" s="164">
        <v>270</v>
      </c>
      <c r="F102" s="164">
        <v>153</v>
      </c>
      <c r="G102" s="164">
        <v>230</v>
      </c>
      <c r="H102" s="164">
        <v>185</v>
      </c>
      <c r="I102" s="165">
        <f t="shared" si="29"/>
        <v>-0.19565217391304346</v>
      </c>
      <c r="J102" s="164">
        <f t="shared" si="28"/>
        <v>-45</v>
      </c>
      <c r="K102" s="165">
        <f t="shared" si="30"/>
        <v>3.3937058313772136E-5</v>
      </c>
    </row>
    <row r="103" spans="2:14" x14ac:dyDescent="0.25">
      <c r="B103" s="163" t="s">
        <v>136</v>
      </c>
      <c r="C103" s="164">
        <v>89</v>
      </c>
      <c r="D103" s="164">
        <v>96</v>
      </c>
      <c r="E103" s="164">
        <v>168</v>
      </c>
      <c r="F103" s="164">
        <v>270</v>
      </c>
      <c r="G103" s="164">
        <v>384</v>
      </c>
      <c r="H103" s="164">
        <v>239</v>
      </c>
      <c r="I103" s="165">
        <f t="shared" si="29"/>
        <v>-0.37760416666666663</v>
      </c>
      <c r="J103" s="164">
        <f t="shared" si="28"/>
        <v>-145</v>
      </c>
      <c r="K103" s="165">
        <f t="shared" si="30"/>
        <v>4.3843010470224541E-5</v>
      </c>
    </row>
    <row r="104" spans="2:14" x14ac:dyDescent="0.25">
      <c r="B104" s="168" t="s">
        <v>150</v>
      </c>
      <c r="C104" s="169">
        <f t="shared" ref="C104:H104" si="31">C96-SUM(C97:C103)</f>
        <v>2568</v>
      </c>
      <c r="D104" s="169">
        <f t="shared" si="31"/>
        <v>3715</v>
      </c>
      <c r="E104" s="169">
        <f t="shared" si="31"/>
        <v>6087</v>
      </c>
      <c r="F104" s="169">
        <f t="shared" si="31"/>
        <v>7930</v>
      </c>
      <c r="G104" s="169">
        <f t="shared" si="31"/>
        <v>8168</v>
      </c>
      <c r="H104" s="169">
        <f t="shared" si="31"/>
        <v>8674</v>
      </c>
      <c r="I104" s="170">
        <f t="shared" si="29"/>
        <v>6.1949069539666946E-2</v>
      </c>
      <c r="J104" s="169">
        <f>H104-G104</f>
        <v>506</v>
      </c>
      <c r="K104" s="170">
        <f t="shared" si="30"/>
        <v>1.5911894260197811E-3</v>
      </c>
    </row>
    <row r="105" spans="2:14" x14ac:dyDescent="0.25">
      <c r="B105" s="155" t="s">
        <v>52</v>
      </c>
      <c r="C105" s="153"/>
      <c r="D105" s="153"/>
      <c r="E105" s="153"/>
      <c r="F105" s="153"/>
      <c r="G105" s="153"/>
      <c r="H105" s="154"/>
      <c r="I105" s="154"/>
      <c r="J105" s="154"/>
      <c r="K105" s="153"/>
      <c r="L105" s="171"/>
      <c r="M105" s="171"/>
      <c r="N105" s="171"/>
    </row>
    <row r="106" spans="2:14" x14ac:dyDescent="0.25">
      <c r="B106" s="156" t="s">
        <v>73</v>
      </c>
      <c r="C106" s="157">
        <v>77467</v>
      </c>
      <c r="D106" s="157">
        <v>107459</v>
      </c>
      <c r="E106" s="157">
        <v>198873</v>
      </c>
      <c r="F106" s="157">
        <v>252588</v>
      </c>
      <c r="G106" s="157">
        <v>239146</v>
      </c>
      <c r="H106" s="157">
        <v>250668</v>
      </c>
      <c r="I106" s="158">
        <f>IFERROR(H106/G106-1,"-")</f>
        <v>4.8179773025682993E-2</v>
      </c>
      <c r="J106" s="157">
        <f>H106-G106</f>
        <v>11522</v>
      </c>
      <c r="K106" s="158">
        <f>H106/H$8</f>
        <v>4.5983429910252074E-2</v>
      </c>
      <c r="L106" s="107"/>
      <c r="M106" s="107"/>
      <c r="N106" s="107"/>
    </row>
    <row r="107" spans="2:14" x14ac:dyDescent="0.25">
      <c r="B107" s="159" t="s">
        <v>102</v>
      </c>
      <c r="C107" s="160">
        <v>30584</v>
      </c>
      <c r="D107" s="160">
        <v>44398</v>
      </c>
      <c r="E107" s="160">
        <v>48630</v>
      </c>
      <c r="F107" s="160">
        <v>55684</v>
      </c>
      <c r="G107" s="160">
        <v>49807</v>
      </c>
      <c r="H107" s="160">
        <v>52122</v>
      </c>
      <c r="I107" s="161">
        <f>IFERROR(H107/G107-1,"-")</f>
        <v>4.647941052462512E-2</v>
      </c>
      <c r="J107" s="160">
        <f t="shared" ref="J107:J117" si="32">H107-G107</f>
        <v>2315</v>
      </c>
      <c r="K107" s="161">
        <f>H107/H$8</f>
        <v>9.5614451536780061E-3</v>
      </c>
    </row>
    <row r="108" spans="2:14" x14ac:dyDescent="0.25">
      <c r="B108" s="163" t="s">
        <v>108</v>
      </c>
      <c r="C108" s="164">
        <v>4963</v>
      </c>
      <c r="D108" s="164">
        <v>24120</v>
      </c>
      <c r="E108" s="164">
        <v>16359</v>
      </c>
      <c r="F108" s="164">
        <v>19520</v>
      </c>
      <c r="G108" s="164">
        <v>16099</v>
      </c>
      <c r="H108" s="164">
        <v>20486</v>
      </c>
      <c r="I108" s="165">
        <f>IFERROR(H108/G108-1,"-")</f>
        <v>0.2725013976023356</v>
      </c>
      <c r="J108" s="164">
        <f t="shared" si="32"/>
        <v>4387</v>
      </c>
      <c r="K108" s="165">
        <f>H108/H$8</f>
        <v>3.7580247384645187E-3</v>
      </c>
    </row>
    <row r="109" spans="2:14" x14ac:dyDescent="0.25">
      <c r="B109" s="163" t="s">
        <v>105</v>
      </c>
      <c r="C109" s="164">
        <v>25621</v>
      </c>
      <c r="D109" s="164">
        <v>20278</v>
      </c>
      <c r="E109" s="164">
        <v>32271</v>
      </c>
      <c r="F109" s="164">
        <v>36164</v>
      </c>
      <c r="G109" s="164">
        <v>33708</v>
      </c>
      <c r="H109" s="164">
        <v>31636</v>
      </c>
      <c r="I109" s="165">
        <f>IFERROR(H109/G109-1,"-")</f>
        <v>-6.146908745698354E-2</v>
      </c>
      <c r="J109" s="164">
        <f t="shared" si="32"/>
        <v>-2072</v>
      </c>
      <c r="K109" s="165">
        <f>H109/H$8</f>
        <v>5.8034204152134878E-3</v>
      </c>
    </row>
    <row r="110" spans="2:14" x14ac:dyDescent="0.25">
      <c r="B110" s="159" t="s">
        <v>112</v>
      </c>
      <c r="C110" s="160">
        <v>46883</v>
      </c>
      <c r="D110" s="160">
        <v>63061</v>
      </c>
      <c r="E110" s="160">
        <v>150243</v>
      </c>
      <c r="F110" s="160">
        <v>196904</v>
      </c>
      <c r="G110" s="160">
        <v>189339</v>
      </c>
      <c r="H110" s="160">
        <v>198546</v>
      </c>
      <c r="I110" s="161">
        <f>IFERROR(H110/G110-1,"-")</f>
        <v>4.8627065739229591E-2</v>
      </c>
      <c r="J110" s="160">
        <f t="shared" si="32"/>
        <v>9207</v>
      </c>
      <c r="K110" s="161">
        <f>H110/H$8</f>
        <v>3.6421984756574065E-2</v>
      </c>
    </row>
    <row r="111" spans="2:14" x14ac:dyDescent="0.25">
      <c r="B111" s="163" t="s">
        <v>115</v>
      </c>
      <c r="C111" s="164">
        <v>26382</v>
      </c>
      <c r="D111" s="164">
        <v>26812</v>
      </c>
      <c r="E111" s="164">
        <v>90804</v>
      </c>
      <c r="F111" s="164">
        <v>128108</v>
      </c>
      <c r="G111" s="164">
        <v>116734</v>
      </c>
      <c r="H111" s="164">
        <v>118438</v>
      </c>
      <c r="I111" s="165">
        <f t="shared" ref="I111:I118" si="33">IFERROR(H111/G111-1,"-")</f>
        <v>1.4597289564308502E-2</v>
      </c>
      <c r="J111" s="164">
        <f t="shared" si="32"/>
        <v>1704</v>
      </c>
      <c r="K111" s="165">
        <f t="shared" ref="K111:K118" si="34">H111/H$8</f>
        <v>2.1726688176035375E-2</v>
      </c>
    </row>
    <row r="112" spans="2:14" x14ac:dyDescent="0.25">
      <c r="B112" s="163" t="s">
        <v>118</v>
      </c>
      <c r="C112" s="164">
        <v>3197</v>
      </c>
      <c r="D112" s="164">
        <v>7197</v>
      </c>
      <c r="E112" s="164">
        <v>6944</v>
      </c>
      <c r="F112" s="164">
        <v>8880</v>
      </c>
      <c r="G112" s="164">
        <v>8516</v>
      </c>
      <c r="H112" s="164">
        <v>9837</v>
      </c>
      <c r="I112" s="165">
        <f t="shared" si="33"/>
        <v>0.15511977454203851</v>
      </c>
      <c r="J112" s="164">
        <f t="shared" si="32"/>
        <v>1321</v>
      </c>
      <c r="K112" s="165">
        <f t="shared" si="34"/>
        <v>1.8045342845004135E-3</v>
      </c>
    </row>
    <row r="113" spans="2:14" x14ac:dyDescent="0.25">
      <c r="B113" s="163" t="s">
        <v>121</v>
      </c>
      <c r="C113" s="164">
        <v>2498</v>
      </c>
      <c r="D113" s="164">
        <v>6746</v>
      </c>
      <c r="E113" s="164">
        <v>9830</v>
      </c>
      <c r="F113" s="164">
        <v>13414</v>
      </c>
      <c r="G113" s="164">
        <v>14245</v>
      </c>
      <c r="H113" s="164">
        <v>15602</v>
      </c>
      <c r="I113" s="165">
        <f t="shared" si="33"/>
        <v>9.5261495261495188E-2</v>
      </c>
      <c r="J113" s="164">
        <f t="shared" si="32"/>
        <v>1357</v>
      </c>
      <c r="K113" s="165">
        <f t="shared" si="34"/>
        <v>2.8620863989809345E-3</v>
      </c>
    </row>
    <row r="114" spans="2:14" x14ac:dyDescent="0.25">
      <c r="B114" s="163" t="s">
        <v>128</v>
      </c>
      <c r="C114" s="164">
        <v>1300</v>
      </c>
      <c r="D114" s="164">
        <v>3663</v>
      </c>
      <c r="E114" s="164">
        <v>6290</v>
      </c>
      <c r="F114" s="164">
        <v>6514</v>
      </c>
      <c r="G114" s="164">
        <v>6482</v>
      </c>
      <c r="H114" s="164">
        <v>6405</v>
      </c>
      <c r="I114" s="165">
        <f t="shared" si="33"/>
        <v>-1.1879049676025932E-2</v>
      </c>
      <c r="J114" s="164">
        <f t="shared" si="32"/>
        <v>-77</v>
      </c>
      <c r="K114" s="165">
        <f t="shared" si="34"/>
        <v>1.1749559918903271E-3</v>
      </c>
    </row>
    <row r="115" spans="2:14" x14ac:dyDescent="0.25">
      <c r="B115" s="163" t="s">
        <v>124</v>
      </c>
      <c r="C115" s="164">
        <v>2838</v>
      </c>
      <c r="D115" s="164">
        <v>4368</v>
      </c>
      <c r="E115" s="164">
        <v>4750</v>
      </c>
      <c r="F115" s="164">
        <v>5340</v>
      </c>
      <c r="G115" s="164">
        <v>5146</v>
      </c>
      <c r="H115" s="164">
        <v>4828</v>
      </c>
      <c r="I115" s="165">
        <f t="shared" si="33"/>
        <v>-6.1795569374271331E-2</v>
      </c>
      <c r="J115" s="164">
        <f t="shared" si="32"/>
        <v>-318</v>
      </c>
      <c r="K115" s="165">
        <f t="shared" si="34"/>
        <v>8.8566550021022632E-4</v>
      </c>
    </row>
    <row r="116" spans="2:14" x14ac:dyDescent="0.25">
      <c r="B116" s="163" t="s">
        <v>133</v>
      </c>
      <c r="C116" s="164">
        <v>406</v>
      </c>
      <c r="D116" s="164">
        <v>369</v>
      </c>
      <c r="E116" s="164">
        <v>1261</v>
      </c>
      <c r="F116" s="164">
        <v>1457</v>
      </c>
      <c r="G116" s="164">
        <v>1177</v>
      </c>
      <c r="H116" s="164">
        <v>1362</v>
      </c>
      <c r="I116" s="165">
        <f t="shared" si="33"/>
        <v>0.15717926932880211</v>
      </c>
      <c r="J116" s="164">
        <f t="shared" si="32"/>
        <v>185</v>
      </c>
      <c r="K116" s="165">
        <f t="shared" si="34"/>
        <v>2.4985012661274403E-4</v>
      </c>
    </row>
    <row r="117" spans="2:14" x14ac:dyDescent="0.25">
      <c r="B117" s="163" t="s">
        <v>136</v>
      </c>
      <c r="C117" s="164">
        <v>932</v>
      </c>
      <c r="D117" s="164">
        <v>521</v>
      </c>
      <c r="E117" s="164">
        <v>980</v>
      </c>
      <c r="F117" s="164">
        <v>944</v>
      </c>
      <c r="G117" s="164">
        <v>1508</v>
      </c>
      <c r="H117" s="164">
        <v>1010</v>
      </c>
      <c r="I117" s="165">
        <f t="shared" si="33"/>
        <v>-0.33023872679045096</v>
      </c>
      <c r="J117" s="164">
        <f t="shared" si="32"/>
        <v>-498</v>
      </c>
      <c r="K117" s="165">
        <f t="shared" si="34"/>
        <v>1.8527799403735058E-4</v>
      </c>
    </row>
    <row r="118" spans="2:14" x14ac:dyDescent="0.25">
      <c r="B118" s="168" t="s">
        <v>150</v>
      </c>
      <c r="C118" s="169">
        <f t="shared" ref="C118:H118" si="35">C110-SUM(C111:C117)</f>
        <v>9330</v>
      </c>
      <c r="D118" s="169">
        <f t="shared" si="35"/>
        <v>13385</v>
      </c>
      <c r="E118" s="169">
        <f t="shared" si="35"/>
        <v>29384</v>
      </c>
      <c r="F118" s="169">
        <f t="shared" si="35"/>
        <v>32247</v>
      </c>
      <c r="G118" s="169">
        <f t="shared" si="35"/>
        <v>35531</v>
      </c>
      <c r="H118" s="169">
        <f t="shared" si="35"/>
        <v>41064</v>
      </c>
      <c r="I118" s="170">
        <f t="shared" si="33"/>
        <v>0.15572317131518965</v>
      </c>
      <c r="J118" s="169">
        <f>H118-G118</f>
        <v>5533</v>
      </c>
      <c r="K118" s="170">
        <f t="shared" si="34"/>
        <v>7.5329262843066968E-3</v>
      </c>
    </row>
    <row r="119" spans="2:14" x14ac:dyDescent="0.25">
      <c r="B119" s="155" t="s">
        <v>53</v>
      </c>
      <c r="C119" s="153"/>
      <c r="D119" s="153"/>
      <c r="E119" s="153"/>
      <c r="F119" s="153"/>
      <c r="G119" s="153"/>
      <c r="H119" s="154"/>
      <c r="I119" s="154"/>
      <c r="J119" s="154"/>
      <c r="K119" s="153"/>
      <c r="L119" s="171"/>
      <c r="M119" s="171"/>
      <c r="N119" s="171"/>
    </row>
    <row r="120" spans="2:14" x14ac:dyDescent="0.25">
      <c r="B120" s="156" t="s">
        <v>73</v>
      </c>
      <c r="C120" s="157">
        <v>103516</v>
      </c>
      <c r="D120" s="157">
        <v>164258</v>
      </c>
      <c r="E120" s="157">
        <v>229131</v>
      </c>
      <c r="F120" s="157">
        <v>240044</v>
      </c>
      <c r="G120" s="157">
        <v>250407</v>
      </c>
      <c r="H120" s="157">
        <v>282601</v>
      </c>
      <c r="I120" s="158">
        <f>IFERROR(H120/G120-1,"-")</f>
        <v>0.12856669342310711</v>
      </c>
      <c r="J120" s="157">
        <f>H120-G120</f>
        <v>32194</v>
      </c>
      <c r="K120" s="158">
        <f>H120/H$8</f>
        <v>5.184133306232605E-2</v>
      </c>
      <c r="L120" s="107"/>
      <c r="M120" s="107"/>
      <c r="N120" s="107"/>
    </row>
    <row r="121" spans="2:14" x14ac:dyDescent="0.25">
      <c r="B121" s="159" t="s">
        <v>102</v>
      </c>
      <c r="C121" s="160">
        <v>61571</v>
      </c>
      <c r="D121" s="160">
        <v>104557</v>
      </c>
      <c r="E121" s="160">
        <v>134886</v>
      </c>
      <c r="F121" s="160">
        <v>147214</v>
      </c>
      <c r="G121" s="160">
        <v>155988</v>
      </c>
      <c r="H121" s="160">
        <v>178403</v>
      </c>
      <c r="I121" s="161">
        <f>IFERROR(H121/G121-1,"-")</f>
        <v>0.14369695104751656</v>
      </c>
      <c r="J121" s="160">
        <f t="shared" ref="J121:J131" si="36">H121-G121</f>
        <v>22415</v>
      </c>
      <c r="K121" s="161">
        <f>H121/H$8</f>
        <v>3.2726881158658863E-2</v>
      </c>
    </row>
    <row r="122" spans="2:14" x14ac:dyDescent="0.25">
      <c r="B122" s="163" t="s">
        <v>108</v>
      </c>
      <c r="C122" s="164">
        <v>27791</v>
      </c>
      <c r="D122" s="164">
        <v>53247</v>
      </c>
      <c r="E122" s="164">
        <v>69865</v>
      </c>
      <c r="F122" s="164">
        <v>67025</v>
      </c>
      <c r="G122" s="164">
        <v>75188</v>
      </c>
      <c r="H122" s="164">
        <v>93462</v>
      </c>
      <c r="I122" s="165">
        <f>IFERROR(H122/G122-1,"-")</f>
        <v>0.24304410278235888</v>
      </c>
      <c r="J122" s="164">
        <f t="shared" si="36"/>
        <v>18274</v>
      </c>
      <c r="K122" s="165">
        <f>H122/H$8</f>
        <v>1.7145001860117682E-2</v>
      </c>
    </row>
    <row r="123" spans="2:14" x14ac:dyDescent="0.25">
      <c r="B123" s="163" t="s">
        <v>105</v>
      </c>
      <c r="C123" s="164">
        <v>33780</v>
      </c>
      <c r="D123" s="164">
        <v>51310</v>
      </c>
      <c r="E123" s="164">
        <v>65021</v>
      </c>
      <c r="F123" s="164">
        <v>80189</v>
      </c>
      <c r="G123" s="164">
        <v>80800</v>
      </c>
      <c r="H123" s="164">
        <v>84941</v>
      </c>
      <c r="I123" s="165">
        <f>IFERROR(H123/G123-1,"-")</f>
        <v>5.1250000000000018E-2</v>
      </c>
      <c r="J123" s="164">
        <f t="shared" si="36"/>
        <v>4141</v>
      </c>
      <c r="K123" s="165">
        <f>H123/H$8</f>
        <v>1.5581879298541183E-2</v>
      </c>
    </row>
    <row r="124" spans="2:14" x14ac:dyDescent="0.25">
      <c r="B124" s="159" t="s">
        <v>112</v>
      </c>
      <c r="C124" s="160">
        <v>41945</v>
      </c>
      <c r="D124" s="160">
        <v>59701</v>
      </c>
      <c r="E124" s="160">
        <v>94245</v>
      </c>
      <c r="F124" s="160">
        <v>92830</v>
      </c>
      <c r="G124" s="160">
        <v>94419</v>
      </c>
      <c r="H124" s="160">
        <v>104198</v>
      </c>
      <c r="I124" s="161">
        <f>IFERROR(H124/G124-1,"-")</f>
        <v>0.10357025598661296</v>
      </c>
      <c r="J124" s="160">
        <f t="shared" si="36"/>
        <v>9779</v>
      </c>
      <c r="K124" s="161">
        <f>H124/H$8</f>
        <v>1.9114451903667184E-2</v>
      </c>
    </row>
    <row r="125" spans="2:14" x14ac:dyDescent="0.25">
      <c r="B125" s="163" t="s">
        <v>115</v>
      </c>
      <c r="C125" s="164">
        <v>3941</v>
      </c>
      <c r="D125" s="164">
        <v>3336</v>
      </c>
      <c r="E125" s="164">
        <v>9917</v>
      </c>
      <c r="F125" s="164">
        <v>11654</v>
      </c>
      <c r="G125" s="164">
        <v>10678</v>
      </c>
      <c r="H125" s="164">
        <v>10456</v>
      </c>
      <c r="I125" s="165">
        <f t="shared" ref="I125:I132" si="37">IFERROR(H125/G125-1,"-")</f>
        <v>-2.0790410189174047E-2</v>
      </c>
      <c r="J125" s="164">
        <f t="shared" si="36"/>
        <v>-222</v>
      </c>
      <c r="K125" s="165">
        <f t="shared" ref="K125:K132" si="38">H125/H$8</f>
        <v>1.9180858471827104E-3</v>
      </c>
    </row>
    <row r="126" spans="2:14" x14ac:dyDescent="0.25">
      <c r="B126" s="163" t="s">
        <v>118</v>
      </c>
      <c r="C126" s="164">
        <v>4053</v>
      </c>
      <c r="D126" s="164">
        <v>7314</v>
      </c>
      <c r="E126" s="164">
        <v>11261</v>
      </c>
      <c r="F126" s="164">
        <v>13315</v>
      </c>
      <c r="G126" s="164">
        <v>13141</v>
      </c>
      <c r="H126" s="164">
        <v>15417</v>
      </c>
      <c r="I126" s="165">
        <f t="shared" si="37"/>
        <v>0.17319838672855936</v>
      </c>
      <c r="J126" s="164">
        <f t="shared" si="36"/>
        <v>2276</v>
      </c>
      <c r="K126" s="165">
        <f t="shared" si="38"/>
        <v>2.8281493406671623E-3</v>
      </c>
    </row>
    <row r="127" spans="2:14" x14ac:dyDescent="0.25">
      <c r="B127" s="163" t="s">
        <v>121</v>
      </c>
      <c r="C127" s="164">
        <v>2906</v>
      </c>
      <c r="D127" s="164">
        <v>7134</v>
      </c>
      <c r="E127" s="164">
        <v>8524</v>
      </c>
      <c r="F127" s="164">
        <v>8780</v>
      </c>
      <c r="G127" s="164">
        <v>8587</v>
      </c>
      <c r="H127" s="164">
        <v>9534</v>
      </c>
      <c r="I127" s="165">
        <f t="shared" si="37"/>
        <v>0.11028298590893204</v>
      </c>
      <c r="J127" s="164">
        <f t="shared" si="36"/>
        <v>947</v>
      </c>
      <c r="K127" s="165">
        <f t="shared" si="38"/>
        <v>1.7489508862892082E-3</v>
      </c>
    </row>
    <row r="128" spans="2:14" x14ac:dyDescent="0.25">
      <c r="B128" s="163" t="s">
        <v>128</v>
      </c>
      <c r="C128" s="164">
        <v>784</v>
      </c>
      <c r="D128" s="164">
        <v>1333</v>
      </c>
      <c r="E128" s="164">
        <v>2573</v>
      </c>
      <c r="F128" s="164">
        <v>2637</v>
      </c>
      <c r="G128" s="164">
        <v>2356</v>
      </c>
      <c r="H128" s="164">
        <v>2766</v>
      </c>
      <c r="I128" s="165">
        <f t="shared" si="37"/>
        <v>0.17402376910016981</v>
      </c>
      <c r="J128" s="164">
        <f t="shared" si="36"/>
        <v>410</v>
      </c>
      <c r="K128" s="165">
        <f t="shared" si="38"/>
        <v>5.0740488268050663E-4</v>
      </c>
    </row>
    <row r="129" spans="2:14" x14ac:dyDescent="0.25">
      <c r="B129" s="163" t="s">
        <v>124</v>
      </c>
      <c r="C129" s="164">
        <v>812</v>
      </c>
      <c r="D129" s="164">
        <v>1357</v>
      </c>
      <c r="E129" s="164">
        <v>1836</v>
      </c>
      <c r="F129" s="164">
        <v>1935</v>
      </c>
      <c r="G129" s="164">
        <v>2097</v>
      </c>
      <c r="H129" s="164">
        <v>2540</v>
      </c>
      <c r="I129" s="165">
        <f t="shared" si="37"/>
        <v>0.21125417262756319</v>
      </c>
      <c r="J129" s="164">
        <f t="shared" si="36"/>
        <v>443</v>
      </c>
      <c r="K129" s="165">
        <f t="shared" si="38"/>
        <v>4.6594663847016878E-4</v>
      </c>
    </row>
    <row r="130" spans="2:14" x14ac:dyDescent="0.25">
      <c r="B130" s="163" t="s">
        <v>133</v>
      </c>
      <c r="C130" s="164">
        <v>678</v>
      </c>
      <c r="D130" s="164">
        <v>555</v>
      </c>
      <c r="E130" s="164">
        <v>1075</v>
      </c>
      <c r="F130" s="164">
        <v>1342</v>
      </c>
      <c r="G130" s="164">
        <v>1334</v>
      </c>
      <c r="H130" s="164">
        <v>1128</v>
      </c>
      <c r="I130" s="165">
        <f t="shared" si="37"/>
        <v>-0.15442278860569714</v>
      </c>
      <c r="J130" s="164">
        <f t="shared" si="36"/>
        <v>-206</v>
      </c>
      <c r="K130" s="165">
        <f t="shared" si="38"/>
        <v>2.0692433393478362E-4</v>
      </c>
    </row>
    <row r="131" spans="2:14" x14ac:dyDescent="0.25">
      <c r="B131" s="163" t="s">
        <v>136</v>
      </c>
      <c r="C131" s="164">
        <v>1097</v>
      </c>
      <c r="D131" s="164">
        <v>919</v>
      </c>
      <c r="E131" s="164">
        <v>1885</v>
      </c>
      <c r="F131" s="164">
        <v>2455</v>
      </c>
      <c r="G131" s="164">
        <v>2502</v>
      </c>
      <c r="H131" s="164">
        <v>2367</v>
      </c>
      <c r="I131" s="165">
        <f t="shared" si="37"/>
        <v>-5.3956834532374098E-2</v>
      </c>
      <c r="J131" s="164">
        <f t="shared" si="36"/>
        <v>-135</v>
      </c>
      <c r="K131" s="165">
        <f t="shared" si="38"/>
        <v>4.3421090285783052E-4</v>
      </c>
    </row>
    <row r="132" spans="2:14" x14ac:dyDescent="0.25">
      <c r="B132" s="168" t="s">
        <v>150</v>
      </c>
      <c r="C132" s="169">
        <f t="shared" ref="C132:H132" si="39">C124-SUM(C125:C131)</f>
        <v>27674</v>
      </c>
      <c r="D132" s="169">
        <f t="shared" si="39"/>
        <v>37753</v>
      </c>
      <c r="E132" s="169">
        <f t="shared" si="39"/>
        <v>57174</v>
      </c>
      <c r="F132" s="169">
        <f t="shared" si="39"/>
        <v>50712</v>
      </c>
      <c r="G132" s="169">
        <f t="shared" si="39"/>
        <v>53724</v>
      </c>
      <c r="H132" s="169">
        <f t="shared" si="39"/>
        <v>59990</v>
      </c>
      <c r="I132" s="170">
        <f t="shared" si="37"/>
        <v>0.11663316208770746</v>
      </c>
      <c r="J132" s="169">
        <f>H132-G132</f>
        <v>6266</v>
      </c>
      <c r="K132" s="170">
        <f t="shared" si="38"/>
        <v>1.1004779071584814E-2</v>
      </c>
    </row>
    <row r="133" spans="2:14" x14ac:dyDescent="0.25">
      <c r="B133" s="155" t="s">
        <v>54</v>
      </c>
      <c r="C133" s="153"/>
      <c r="D133" s="153"/>
      <c r="E133" s="153"/>
      <c r="F133" s="153"/>
      <c r="G133" s="153"/>
      <c r="H133" s="154"/>
      <c r="I133" s="154"/>
      <c r="J133" s="154"/>
      <c r="K133" s="153"/>
      <c r="L133" s="171"/>
      <c r="M133" s="171"/>
      <c r="N133" s="171"/>
    </row>
    <row r="134" spans="2:14" x14ac:dyDescent="0.25">
      <c r="B134" s="156" t="s">
        <v>73</v>
      </c>
      <c r="C134" s="157">
        <v>96681</v>
      </c>
      <c r="D134" s="157">
        <v>140346</v>
      </c>
      <c r="E134" s="157">
        <v>257142</v>
      </c>
      <c r="F134" s="157">
        <v>280769</v>
      </c>
      <c r="G134" s="157">
        <v>288350</v>
      </c>
      <c r="H134" s="157">
        <v>287664</v>
      </c>
      <c r="I134" s="158">
        <f>IFERROR(H134/G134-1,"-")</f>
        <v>-2.3790532339170722E-3</v>
      </c>
      <c r="J134" s="157">
        <f>H134-G134</f>
        <v>-686</v>
      </c>
      <c r="K134" s="158">
        <f>H134/H$8</f>
        <v>5.277010779877269E-2</v>
      </c>
      <c r="L134" s="107"/>
      <c r="M134" s="107"/>
      <c r="N134" s="107"/>
    </row>
    <row r="135" spans="2:14" x14ac:dyDescent="0.25">
      <c r="B135" s="159" t="s">
        <v>102</v>
      </c>
      <c r="C135" s="160">
        <v>26839</v>
      </c>
      <c r="D135" s="160">
        <v>45216</v>
      </c>
      <c r="E135" s="160">
        <v>29086</v>
      </c>
      <c r="F135" s="160">
        <v>33671</v>
      </c>
      <c r="G135" s="160">
        <v>29209</v>
      </c>
      <c r="H135" s="160">
        <v>32990</v>
      </c>
      <c r="I135" s="161">
        <f>IFERROR(H135/G135-1,"-")</f>
        <v>0.12944640350576875</v>
      </c>
      <c r="J135" s="160">
        <f t="shared" ref="J135:J145" si="40">H135-G135</f>
        <v>3781</v>
      </c>
      <c r="K135" s="161">
        <f>H135/H$8</f>
        <v>6.0518029933586091E-3</v>
      </c>
    </row>
    <row r="136" spans="2:14" x14ac:dyDescent="0.25">
      <c r="B136" s="163" t="s">
        <v>108</v>
      </c>
      <c r="C136" s="164">
        <v>20058</v>
      </c>
      <c r="D136" s="164">
        <v>34195</v>
      </c>
      <c r="E136" s="164">
        <v>19968</v>
      </c>
      <c r="F136" s="164">
        <v>22352</v>
      </c>
      <c r="G136" s="164">
        <v>18376</v>
      </c>
      <c r="H136" s="164">
        <v>19606</v>
      </c>
      <c r="I136" s="165">
        <f>IFERROR(H136/G136-1,"-")</f>
        <v>6.693513278188945E-2</v>
      </c>
      <c r="J136" s="164">
        <f t="shared" si="40"/>
        <v>1230</v>
      </c>
      <c r="K136" s="165">
        <f>H136/H$8</f>
        <v>3.5965944070260351E-3</v>
      </c>
    </row>
    <row r="137" spans="2:14" x14ac:dyDescent="0.25">
      <c r="B137" s="163" t="s">
        <v>105</v>
      </c>
      <c r="C137" s="164">
        <v>6781</v>
      </c>
      <c r="D137" s="164">
        <v>11021</v>
      </c>
      <c r="E137" s="164">
        <v>9118</v>
      </c>
      <c r="F137" s="164">
        <v>11319</v>
      </c>
      <c r="G137" s="164">
        <v>10833</v>
      </c>
      <c r="H137" s="164">
        <v>13384</v>
      </c>
      <c r="I137" s="165">
        <f>IFERROR(H137/G137-1,"-")</f>
        <v>0.23548416874365374</v>
      </c>
      <c r="J137" s="164">
        <f t="shared" si="40"/>
        <v>2551</v>
      </c>
      <c r="K137" s="165">
        <f>H137/H$8</f>
        <v>2.4552085863325745E-3</v>
      </c>
    </row>
    <row r="138" spans="2:14" x14ac:dyDescent="0.25">
      <c r="B138" s="159" t="s">
        <v>112</v>
      </c>
      <c r="C138" s="160">
        <v>69842</v>
      </c>
      <c r="D138" s="160">
        <v>95130</v>
      </c>
      <c r="E138" s="160">
        <v>228056</v>
      </c>
      <c r="F138" s="160">
        <v>247098</v>
      </c>
      <c r="G138" s="160">
        <v>259141</v>
      </c>
      <c r="H138" s="160">
        <v>254674</v>
      </c>
      <c r="I138" s="161">
        <f>IFERROR(H138/G138-1,"-")</f>
        <v>-1.7237720005711221E-2</v>
      </c>
      <c r="J138" s="160">
        <f t="shared" si="40"/>
        <v>-4467</v>
      </c>
      <c r="K138" s="161">
        <f>H138/H$8</f>
        <v>4.6718304805414078E-2</v>
      </c>
    </row>
    <row r="139" spans="2:14" x14ac:dyDescent="0.25">
      <c r="B139" s="163" t="s">
        <v>115</v>
      </c>
      <c r="C139" s="164">
        <v>26093</v>
      </c>
      <c r="D139" s="164">
        <v>26467</v>
      </c>
      <c r="E139" s="164">
        <v>96562</v>
      </c>
      <c r="F139" s="164">
        <v>105994</v>
      </c>
      <c r="G139" s="164">
        <v>116401</v>
      </c>
      <c r="H139" s="164">
        <v>115809</v>
      </c>
      <c r="I139" s="165">
        <f t="shared" ref="I139:I146" si="41">IFERROR(H139/G139-1,"-")</f>
        <v>-5.0858669599058715E-3</v>
      </c>
      <c r="J139" s="164">
        <f t="shared" si="40"/>
        <v>-592</v>
      </c>
      <c r="K139" s="165">
        <f t="shared" ref="K139:K146" si="42">H139/H$8</f>
        <v>2.1244415060862904E-2</v>
      </c>
    </row>
    <row r="140" spans="2:14" x14ac:dyDescent="0.25">
      <c r="B140" s="163" t="s">
        <v>118</v>
      </c>
      <c r="C140" s="164">
        <v>6042</v>
      </c>
      <c r="D140" s="164">
        <v>9298</v>
      </c>
      <c r="E140" s="164">
        <v>16587</v>
      </c>
      <c r="F140" s="164">
        <v>20868</v>
      </c>
      <c r="G140" s="164">
        <v>21452</v>
      </c>
      <c r="H140" s="164">
        <v>21670</v>
      </c>
      <c r="I140" s="165">
        <f t="shared" si="41"/>
        <v>1.0162222636584062E-2</v>
      </c>
      <c r="J140" s="164">
        <f t="shared" si="40"/>
        <v>218</v>
      </c>
      <c r="K140" s="165">
        <f t="shared" si="42"/>
        <v>3.9752219116726602E-3</v>
      </c>
    </row>
    <row r="141" spans="2:14" x14ac:dyDescent="0.25">
      <c r="B141" s="163" t="s">
        <v>121</v>
      </c>
      <c r="C141" s="164">
        <v>6586</v>
      </c>
      <c r="D141" s="164">
        <v>15246</v>
      </c>
      <c r="E141" s="164">
        <v>26940</v>
      </c>
      <c r="F141" s="164">
        <v>25146</v>
      </c>
      <c r="G141" s="164">
        <v>24606</v>
      </c>
      <c r="H141" s="164">
        <v>23656</v>
      </c>
      <c r="I141" s="165">
        <f t="shared" si="41"/>
        <v>-3.8608469478988883E-2</v>
      </c>
      <c r="J141" s="164">
        <f t="shared" si="40"/>
        <v>-950</v>
      </c>
      <c r="K141" s="165">
        <f t="shared" si="42"/>
        <v>4.3395408187599654E-3</v>
      </c>
    </row>
    <row r="142" spans="2:14" x14ac:dyDescent="0.25">
      <c r="B142" s="163" t="s">
        <v>128</v>
      </c>
      <c r="C142" s="164">
        <v>1273</v>
      </c>
      <c r="D142" s="164">
        <v>4366</v>
      </c>
      <c r="E142" s="164">
        <v>9965</v>
      </c>
      <c r="F142" s="164">
        <v>8970</v>
      </c>
      <c r="G142" s="164">
        <v>6557</v>
      </c>
      <c r="H142" s="164">
        <v>5888</v>
      </c>
      <c r="I142" s="165">
        <f t="shared" si="41"/>
        <v>-0.10202836663108128</v>
      </c>
      <c r="J142" s="164">
        <f t="shared" si="40"/>
        <v>-669</v>
      </c>
      <c r="K142" s="165">
        <f t="shared" si="42"/>
        <v>1.0801156721702179E-3</v>
      </c>
    </row>
    <row r="143" spans="2:14" x14ac:dyDescent="0.25">
      <c r="B143" s="163" t="s">
        <v>124</v>
      </c>
      <c r="C143" s="164">
        <v>1935</v>
      </c>
      <c r="D143" s="164">
        <v>3344</v>
      </c>
      <c r="E143" s="164">
        <v>4569</v>
      </c>
      <c r="F143" s="164">
        <v>5508</v>
      </c>
      <c r="G143" s="164">
        <v>5591</v>
      </c>
      <c r="H143" s="164">
        <v>4631</v>
      </c>
      <c r="I143" s="165">
        <f t="shared" si="41"/>
        <v>-0.17170452512967271</v>
      </c>
      <c r="J143" s="164">
        <f t="shared" si="40"/>
        <v>-960</v>
      </c>
      <c r="K143" s="165">
        <f t="shared" si="42"/>
        <v>8.4952711919502027E-4</v>
      </c>
    </row>
    <row r="144" spans="2:14" x14ac:dyDescent="0.25">
      <c r="B144" s="163" t="s">
        <v>133</v>
      </c>
      <c r="C144" s="164">
        <v>1979</v>
      </c>
      <c r="D144" s="164">
        <v>1422</v>
      </c>
      <c r="E144" s="164">
        <v>3324</v>
      </c>
      <c r="F144" s="164">
        <v>3693</v>
      </c>
      <c r="G144" s="164">
        <v>3368</v>
      </c>
      <c r="H144" s="164">
        <v>3484</v>
      </c>
      <c r="I144" s="165">
        <f t="shared" si="41"/>
        <v>3.444180522565321E-2</v>
      </c>
      <c r="J144" s="164">
        <f t="shared" si="40"/>
        <v>116</v>
      </c>
      <c r="K144" s="165">
        <f t="shared" si="42"/>
        <v>6.3911735764963303E-4</v>
      </c>
    </row>
    <row r="145" spans="2:14" x14ac:dyDescent="0.25">
      <c r="B145" s="163" t="s">
        <v>136</v>
      </c>
      <c r="C145" s="164">
        <v>4050</v>
      </c>
      <c r="D145" s="164">
        <v>947</v>
      </c>
      <c r="E145" s="164">
        <v>2079</v>
      </c>
      <c r="F145" s="164">
        <v>2886</v>
      </c>
      <c r="G145" s="164">
        <v>2832</v>
      </c>
      <c r="H145" s="164">
        <v>2253</v>
      </c>
      <c r="I145" s="165">
        <f t="shared" si="41"/>
        <v>-0.20444915254237284</v>
      </c>
      <c r="J145" s="164">
        <f t="shared" si="40"/>
        <v>-579</v>
      </c>
      <c r="K145" s="165">
        <f t="shared" si="42"/>
        <v>4.1329833719420874E-4</v>
      </c>
    </row>
    <row r="146" spans="2:14" x14ac:dyDescent="0.25">
      <c r="B146" s="168" t="s">
        <v>150</v>
      </c>
      <c r="C146" s="169">
        <f t="shared" ref="C146:H146" si="43">C138-SUM(C139:C145)</f>
        <v>21884</v>
      </c>
      <c r="D146" s="169">
        <f t="shared" si="43"/>
        <v>34040</v>
      </c>
      <c r="E146" s="169">
        <f t="shared" si="43"/>
        <v>68030</v>
      </c>
      <c r="F146" s="169">
        <f t="shared" si="43"/>
        <v>74033</v>
      </c>
      <c r="G146" s="169">
        <f t="shared" si="43"/>
        <v>78334</v>
      </c>
      <c r="H146" s="169">
        <f t="shared" si="43"/>
        <v>77283</v>
      </c>
      <c r="I146" s="170">
        <f t="shared" si="41"/>
        <v>-1.3416907090152419E-2</v>
      </c>
      <c r="J146" s="169">
        <f>H146-G146</f>
        <v>-1051</v>
      </c>
      <c r="K146" s="170">
        <f t="shared" si="42"/>
        <v>1.4177068527909471E-2</v>
      </c>
    </row>
    <row r="147" spans="2:14" x14ac:dyDescent="0.25">
      <c r="B147" s="155" t="s">
        <v>55</v>
      </c>
      <c r="C147" s="153"/>
      <c r="D147" s="153"/>
      <c r="E147" s="153"/>
      <c r="F147" s="153"/>
      <c r="G147" s="153"/>
      <c r="H147" s="154"/>
      <c r="I147" s="154"/>
      <c r="J147" s="154"/>
      <c r="K147" s="153"/>
      <c r="L147" s="171"/>
      <c r="M147" s="171"/>
      <c r="N147" s="171"/>
    </row>
    <row r="148" spans="2:14" x14ac:dyDescent="0.25">
      <c r="B148" s="156" t="s">
        <v>73</v>
      </c>
      <c r="C148" s="157">
        <v>3172943</v>
      </c>
      <c r="D148" s="157">
        <v>4742835</v>
      </c>
      <c r="E148" s="157">
        <v>9631671</v>
      </c>
      <c r="F148" s="157">
        <v>10501532</v>
      </c>
      <c r="G148" s="157">
        <v>11094999</v>
      </c>
      <c r="H148" s="157">
        <v>11025993</v>
      </c>
      <c r="I148" s="158">
        <f>IFERROR(H148/G148-1,"-")</f>
        <v>-6.2195589201945456E-3</v>
      </c>
      <c r="J148" s="157">
        <f>H148-G148</f>
        <v>-69006</v>
      </c>
      <c r="K148" s="158">
        <f>H148/H$8</f>
        <v>2.02264739139591</v>
      </c>
      <c r="L148" s="107"/>
      <c r="M148" s="107"/>
      <c r="N148" s="107"/>
    </row>
    <row r="149" spans="2:14" x14ac:dyDescent="0.25">
      <c r="B149" s="159" t="s">
        <v>102</v>
      </c>
      <c r="C149" s="160">
        <v>935240</v>
      </c>
      <c r="D149" s="160">
        <v>1640994</v>
      </c>
      <c r="E149" s="160">
        <v>2092874</v>
      </c>
      <c r="F149" s="160">
        <v>2145246</v>
      </c>
      <c r="G149" s="160">
        <v>2174056</v>
      </c>
      <c r="H149" s="160">
        <v>2188497</v>
      </c>
      <c r="I149" s="161">
        <f>IFERROR(H149/G149-1,"-")</f>
        <v>6.6424231942507905E-3</v>
      </c>
      <c r="J149" s="160">
        <f t="shared" ref="J149:J159" si="44">H149-G149</f>
        <v>14441</v>
      </c>
      <c r="K149" s="161">
        <f>H149/H$8</f>
        <v>0.40146567734332633</v>
      </c>
    </row>
    <row r="150" spans="2:14" x14ac:dyDescent="0.25">
      <c r="B150" s="163" t="s">
        <v>108</v>
      </c>
      <c r="C150" s="164">
        <v>431085</v>
      </c>
      <c r="D150" s="164">
        <v>864462</v>
      </c>
      <c r="E150" s="164">
        <v>889575</v>
      </c>
      <c r="F150" s="164">
        <v>904945</v>
      </c>
      <c r="G150" s="164">
        <v>881902</v>
      </c>
      <c r="H150" s="164">
        <v>879955</v>
      </c>
      <c r="I150" s="165">
        <f>IFERROR(H150/G150-1,"-")</f>
        <v>-2.2077282963413047E-3</v>
      </c>
      <c r="J150" s="164">
        <f t="shared" si="44"/>
        <v>-1947</v>
      </c>
      <c r="K150" s="165">
        <f>H150/H$8</f>
        <v>0.1614220764783533</v>
      </c>
    </row>
    <row r="151" spans="2:14" x14ac:dyDescent="0.25">
      <c r="B151" s="163" t="s">
        <v>105</v>
      </c>
      <c r="C151" s="164">
        <v>504155</v>
      </c>
      <c r="D151" s="164">
        <v>776532</v>
      </c>
      <c r="E151" s="164">
        <v>1203299</v>
      </c>
      <c r="F151" s="164">
        <v>1240301</v>
      </c>
      <c r="G151" s="164">
        <v>1292154</v>
      </c>
      <c r="H151" s="164">
        <v>1308542</v>
      </c>
      <c r="I151" s="165">
        <f>IFERROR(H151/G151-1,"-")</f>
        <v>1.2682698811441906E-2</v>
      </c>
      <c r="J151" s="164">
        <f t="shared" si="44"/>
        <v>16388</v>
      </c>
      <c r="K151" s="165">
        <f>H151/H$8</f>
        <v>0.24004360086497306</v>
      </c>
    </row>
    <row r="152" spans="2:14" x14ac:dyDescent="0.25">
      <c r="B152" s="159" t="s">
        <v>112</v>
      </c>
      <c r="C152" s="160">
        <v>2237703</v>
      </c>
      <c r="D152" s="160">
        <v>3101841</v>
      </c>
      <c r="E152" s="160">
        <v>7538797</v>
      </c>
      <c r="F152" s="160">
        <v>8356286</v>
      </c>
      <c r="G152" s="160">
        <v>8920943</v>
      </c>
      <c r="H152" s="160">
        <v>8837496</v>
      </c>
      <c r="I152" s="161">
        <f>IFERROR(H152/G152-1,"-")</f>
        <v>-9.3540559557436787E-3</v>
      </c>
      <c r="J152" s="160">
        <f t="shared" si="44"/>
        <v>-83447</v>
      </c>
      <c r="K152" s="161">
        <f>H152/H$8</f>
        <v>1.6211817140525837</v>
      </c>
    </row>
    <row r="153" spans="2:14" x14ac:dyDescent="0.25">
      <c r="B153" s="163" t="s">
        <v>115</v>
      </c>
      <c r="C153" s="164">
        <v>878047</v>
      </c>
      <c r="D153" s="164">
        <v>897699</v>
      </c>
      <c r="E153" s="164">
        <v>3464144</v>
      </c>
      <c r="F153" s="164">
        <v>3898142</v>
      </c>
      <c r="G153" s="164">
        <v>4171633</v>
      </c>
      <c r="H153" s="164">
        <v>4133635</v>
      </c>
      <c r="I153" s="165">
        <f t="shared" ref="I153:I160" si="45">IFERROR(H153/G153-1,"-")</f>
        <v>-9.1086632021560865E-3</v>
      </c>
      <c r="J153" s="164">
        <f t="shared" si="44"/>
        <v>-37998</v>
      </c>
      <c r="K153" s="165">
        <f t="shared" ref="K153:K160" si="46">H153/H$8</f>
        <v>0.75828871374513229</v>
      </c>
    </row>
    <row r="154" spans="2:14" x14ac:dyDescent="0.25">
      <c r="B154" s="163" t="s">
        <v>118</v>
      </c>
      <c r="C154" s="164">
        <v>282889</v>
      </c>
      <c r="D154" s="164">
        <v>453625</v>
      </c>
      <c r="E154" s="164">
        <v>782803</v>
      </c>
      <c r="F154" s="164">
        <v>878213</v>
      </c>
      <c r="G154" s="164">
        <v>907871</v>
      </c>
      <c r="H154" s="164">
        <v>899028</v>
      </c>
      <c r="I154" s="165">
        <f t="shared" si="45"/>
        <v>-9.7403706033125648E-3</v>
      </c>
      <c r="J154" s="164">
        <f t="shared" si="44"/>
        <v>-8843</v>
      </c>
      <c r="K154" s="165">
        <f t="shared" si="46"/>
        <v>0.16492089546872396</v>
      </c>
    </row>
    <row r="155" spans="2:14" x14ac:dyDescent="0.25">
      <c r="B155" s="163" t="s">
        <v>121</v>
      </c>
      <c r="C155" s="164">
        <v>119817</v>
      </c>
      <c r="D155" s="164">
        <v>261410</v>
      </c>
      <c r="E155" s="164">
        <v>401139</v>
      </c>
      <c r="F155" s="164">
        <v>441288</v>
      </c>
      <c r="G155" s="164">
        <v>474285</v>
      </c>
      <c r="H155" s="164">
        <v>462868</v>
      </c>
      <c r="I155" s="165">
        <f t="shared" si="45"/>
        <v>-2.4072024204855769E-2</v>
      </c>
      <c r="J155" s="164">
        <f t="shared" si="44"/>
        <v>-11417</v>
      </c>
      <c r="K155" s="165">
        <f t="shared" si="46"/>
        <v>8.4910153013940975E-2</v>
      </c>
    </row>
    <row r="156" spans="2:14" x14ac:dyDescent="0.25">
      <c r="B156" s="163" t="s">
        <v>128</v>
      </c>
      <c r="C156" s="164">
        <v>79920</v>
      </c>
      <c r="D156" s="164">
        <v>187345</v>
      </c>
      <c r="E156" s="164">
        <v>340856</v>
      </c>
      <c r="F156" s="164">
        <v>332563</v>
      </c>
      <c r="G156" s="164">
        <v>352321</v>
      </c>
      <c r="H156" s="164">
        <v>325648</v>
      </c>
      <c r="I156" s="165">
        <f t="shared" si="45"/>
        <v>-7.5706528989188837E-2</v>
      </c>
      <c r="J156" s="164">
        <f t="shared" si="44"/>
        <v>-26673</v>
      </c>
      <c r="K156" s="165">
        <f t="shared" si="46"/>
        <v>5.9738027923044695E-2</v>
      </c>
    </row>
    <row r="157" spans="2:14" x14ac:dyDescent="0.25">
      <c r="B157" s="163" t="s">
        <v>124</v>
      </c>
      <c r="C157" s="164">
        <v>112585</v>
      </c>
      <c r="D157" s="164">
        <v>188423</v>
      </c>
      <c r="E157" s="164">
        <v>295225</v>
      </c>
      <c r="F157" s="164">
        <v>304946</v>
      </c>
      <c r="G157" s="164">
        <v>318457</v>
      </c>
      <c r="H157" s="164">
        <v>299001</v>
      </c>
      <c r="I157" s="165">
        <f t="shared" si="45"/>
        <v>-6.1094590478463329E-2</v>
      </c>
      <c r="J157" s="164">
        <f t="shared" si="44"/>
        <v>-19456</v>
      </c>
      <c r="K157" s="165">
        <f t="shared" si="46"/>
        <v>5.4849807420952336E-2</v>
      </c>
    </row>
    <row r="158" spans="2:14" x14ac:dyDescent="0.25">
      <c r="B158" s="163" t="s">
        <v>133</v>
      </c>
      <c r="C158" s="164">
        <v>57718</v>
      </c>
      <c r="D158" s="164">
        <v>51092</v>
      </c>
      <c r="E158" s="164">
        <v>125173</v>
      </c>
      <c r="F158" s="164">
        <v>136558</v>
      </c>
      <c r="G158" s="164">
        <v>127870</v>
      </c>
      <c r="H158" s="164">
        <v>125441</v>
      </c>
      <c r="I158" s="165">
        <f t="shared" si="45"/>
        <v>-1.8995855165402364E-2</v>
      </c>
      <c r="J158" s="164">
        <f t="shared" si="44"/>
        <v>-2429</v>
      </c>
      <c r="K158" s="165">
        <f t="shared" si="46"/>
        <v>2.301134341588049E-2</v>
      </c>
    </row>
    <row r="159" spans="2:14" x14ac:dyDescent="0.25">
      <c r="B159" s="163" t="s">
        <v>136</v>
      </c>
      <c r="C159" s="164">
        <v>85611</v>
      </c>
      <c r="D159" s="164">
        <v>44748</v>
      </c>
      <c r="E159" s="164">
        <v>114124</v>
      </c>
      <c r="F159" s="164">
        <v>142863</v>
      </c>
      <c r="G159" s="164">
        <v>138608</v>
      </c>
      <c r="H159" s="164">
        <v>117314</v>
      </c>
      <c r="I159" s="165">
        <f t="shared" si="45"/>
        <v>-0.15362749624841276</v>
      </c>
      <c r="J159" s="164">
        <f t="shared" si="44"/>
        <v>-21294</v>
      </c>
      <c r="K159" s="165">
        <f t="shared" si="46"/>
        <v>2.1520497616334403E-2</v>
      </c>
    </row>
    <row r="160" spans="2:14" x14ac:dyDescent="0.25">
      <c r="B160" s="168" t="s">
        <v>150</v>
      </c>
      <c r="C160" s="169">
        <f t="shared" ref="C160:H160" si="47">C152-SUM(C153:C159)</f>
        <v>621116</v>
      </c>
      <c r="D160" s="169">
        <f t="shared" si="47"/>
        <v>1017499</v>
      </c>
      <c r="E160" s="169">
        <f t="shared" si="47"/>
        <v>2015333</v>
      </c>
      <c r="F160" s="169">
        <f t="shared" si="47"/>
        <v>2221713</v>
      </c>
      <c r="G160" s="169">
        <f t="shared" si="47"/>
        <v>2429898</v>
      </c>
      <c r="H160" s="169">
        <f t="shared" si="47"/>
        <v>2474561</v>
      </c>
      <c r="I160" s="170">
        <f t="shared" si="45"/>
        <v>1.8380606922595133E-2</v>
      </c>
      <c r="J160" s="169">
        <f>H160-G160</f>
        <v>44663</v>
      </c>
      <c r="K160" s="170">
        <f t="shared" si="46"/>
        <v>0.45394227544857452</v>
      </c>
    </row>
    <row r="161" spans="2:11" x14ac:dyDescent="0.25"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</row>
    <row r="162" spans="2:11" x14ac:dyDescent="0.25">
      <c r="B162" s="107" t="s">
        <v>57</v>
      </c>
      <c r="C162" s="107"/>
      <c r="D162" s="107"/>
      <c r="E162" s="107"/>
      <c r="F162" s="107"/>
      <c r="G162" s="107"/>
      <c r="H162" s="107"/>
      <c r="I162" s="107"/>
      <c r="J162" s="107"/>
      <c r="K162" s="107"/>
    </row>
  </sheetData>
  <mergeCells count="3">
    <mergeCell ref="B3:K3"/>
    <mergeCell ref="C5:K5"/>
    <mergeCell ref="O5:W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7D7BF-B5B9-4770-BAFC-AE2C81DCCB7E}">
  <sheetPr>
    <tabColor theme="7" tint="0.79998168889431442"/>
  </sheetPr>
  <dimension ref="A1:T165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10" width="13.7109375" customWidth="1"/>
    <col min="13" max="20" width="11.42578125" hidden="1" customWidth="1"/>
  </cols>
  <sheetData>
    <row r="1" spans="1:20" ht="42.75" customHeight="1" x14ac:dyDescent="0.25"/>
    <row r="2" spans="1:20" ht="18" customHeight="1" x14ac:dyDescent="0.25"/>
    <row r="3" spans="1:20" x14ac:dyDescent="0.25">
      <c r="B3" s="57"/>
    </row>
    <row r="6" spans="1:20" ht="42" customHeight="1" thickBot="1" x14ac:dyDescent="0.3">
      <c r="B6" s="273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6" s="273"/>
      <c r="D6" s="273"/>
      <c r="E6" s="273"/>
      <c r="F6" s="273"/>
      <c r="G6" s="273"/>
      <c r="H6" s="273"/>
      <c r="I6" s="273"/>
      <c r="J6" s="273"/>
      <c r="M6" s="273" t="s">
        <v>269</v>
      </c>
      <c r="N6" s="273"/>
      <c r="O6" s="273"/>
      <c r="P6" s="273"/>
      <c r="Q6" s="273"/>
      <c r="R6" s="273"/>
      <c r="S6" s="273"/>
      <c r="T6" s="273"/>
    </row>
    <row r="7" spans="1:20" ht="6" customHeight="1" x14ac:dyDescent="0.25"/>
    <row r="8" spans="1:20" ht="15.75" x14ac:dyDescent="0.25">
      <c r="B8" s="145"/>
      <c r="C8" s="307" t="s">
        <v>45</v>
      </c>
      <c r="D8" s="308"/>
      <c r="E8" s="308"/>
      <c r="F8" s="308"/>
      <c r="G8" s="308"/>
      <c r="H8" s="308"/>
      <c r="I8" s="308"/>
      <c r="J8" s="308"/>
    </row>
    <row r="9" spans="1:20" s="146" customFormat="1" ht="72" customHeight="1" x14ac:dyDescent="0.25">
      <c r="A9"/>
      <c r="B9" s="147"/>
      <c r="C9" s="172" t="s">
        <v>268</v>
      </c>
      <c r="D9" s="172" t="s">
        <v>234</v>
      </c>
      <c r="E9" s="172" t="s">
        <v>235</v>
      </c>
      <c r="F9" s="172" t="s">
        <v>236</v>
      </c>
      <c r="G9" s="172" t="s">
        <v>237</v>
      </c>
      <c r="H9" s="172" t="s">
        <v>238</v>
      </c>
      <c r="I9" s="173" t="str">
        <f>CONCATENATE("var. ",RIGHT(H9,2),"/",RIGHT(G9,2))</f>
        <v>var. 26/25</v>
      </c>
      <c r="J9" s="173" t="str">
        <f>CONCATENATE("Cuota s/ total lugares de residencia ",RIGHT(H9,4))</f>
        <v>Cuota s/ total lugares de residencia 2026</v>
      </c>
      <c r="M9" s="147"/>
      <c r="N9" s="172" t="s">
        <v>268</v>
      </c>
      <c r="O9" s="172" t="s">
        <v>234</v>
      </c>
      <c r="P9" s="172" t="s">
        <v>235</v>
      </c>
      <c r="Q9" s="172" t="s">
        <v>236</v>
      </c>
      <c r="R9" s="172" t="s">
        <v>237</v>
      </c>
      <c r="S9" s="172" t="s">
        <v>238</v>
      </c>
      <c r="T9" s="173" t="str">
        <f>CONCATENATE("Cuota s/ total lugares de residencia ",RIGHT(R9,4))</f>
        <v>Cuota s/ total lugares de residencia 2025</v>
      </c>
    </row>
    <row r="10" spans="1:20" x14ac:dyDescent="0.25">
      <c r="B10" s="152" t="s">
        <v>45</v>
      </c>
      <c r="C10" s="153"/>
      <c r="D10" s="153"/>
      <c r="E10" s="153"/>
      <c r="F10" s="153"/>
      <c r="G10" s="153"/>
      <c r="H10" s="153"/>
      <c r="I10" s="154"/>
      <c r="J10" s="154"/>
      <c r="M10" s="155" t="s">
        <v>53</v>
      </c>
      <c r="N10" s="174"/>
      <c r="O10" s="174"/>
      <c r="P10" s="174"/>
      <c r="Q10" s="174"/>
      <c r="R10" s="174"/>
      <c r="S10" s="175"/>
      <c r="T10" s="175"/>
    </row>
    <row r="11" spans="1:20" x14ac:dyDescent="0.25">
      <c r="B11" s="156" t="s">
        <v>73</v>
      </c>
      <c r="C11" s="176">
        <v>224964</v>
      </c>
      <c r="D11" s="176">
        <v>455417</v>
      </c>
      <c r="E11" s="176">
        <v>454190</v>
      </c>
      <c r="F11" s="176">
        <v>480798</v>
      </c>
      <c r="G11" s="176">
        <v>485154</v>
      </c>
      <c r="H11" s="176">
        <v>484506</v>
      </c>
      <c r="I11" s="177">
        <f t="shared" ref="I11:I23" si="0">IFERROR(H11/G11-1,"-")</f>
        <v>-1.3356583682706535E-3</v>
      </c>
      <c r="J11" s="177">
        <f>H11/H11</f>
        <v>1</v>
      </c>
      <c r="K11" s="81"/>
      <c r="L11" s="81"/>
      <c r="M11" s="156" t="s">
        <v>73</v>
      </c>
      <c r="N11" s="176">
        <v>14398</v>
      </c>
      <c r="O11" s="176">
        <v>18083</v>
      </c>
      <c r="P11" s="176">
        <v>17745</v>
      </c>
      <c r="Q11" s="176">
        <v>21632</v>
      </c>
      <c r="R11" s="176">
        <v>23873</v>
      </c>
      <c r="S11" s="177">
        <f t="shared" ref="S11:S23" si="1">IFERROR(R11/Q11-1,"-")</f>
        <v>0.10359652366863914</v>
      </c>
      <c r="T11" s="177">
        <f>R11/R11</f>
        <v>1</v>
      </c>
    </row>
    <row r="12" spans="1:20" x14ac:dyDescent="0.25">
      <c r="B12" s="159" t="s">
        <v>102</v>
      </c>
      <c r="C12" s="160">
        <v>111387</v>
      </c>
      <c r="D12" s="160">
        <v>135433</v>
      </c>
      <c r="E12" s="160">
        <v>124578</v>
      </c>
      <c r="F12" s="160">
        <v>121556</v>
      </c>
      <c r="G12" s="160">
        <v>127033</v>
      </c>
      <c r="H12" s="160">
        <v>126735</v>
      </c>
      <c r="I12" s="161">
        <f t="shared" si="0"/>
        <v>-2.3458471420811922E-3</v>
      </c>
      <c r="J12" s="161">
        <f>H12/H11</f>
        <v>0.2615757080407673</v>
      </c>
      <c r="K12" s="81"/>
      <c r="L12" s="81"/>
      <c r="M12" s="159" t="s">
        <v>102</v>
      </c>
      <c r="N12" s="160">
        <v>9928</v>
      </c>
      <c r="O12" s="160">
        <v>12525</v>
      </c>
      <c r="P12" s="160">
        <v>12511</v>
      </c>
      <c r="Q12" s="160">
        <v>16297</v>
      </c>
      <c r="R12" s="160">
        <v>17909</v>
      </c>
      <c r="S12" s="161">
        <f t="shared" si="1"/>
        <v>9.8913910535681326E-2</v>
      </c>
      <c r="T12" s="161">
        <f>R12/R11</f>
        <v>0.75017802538432543</v>
      </c>
    </row>
    <row r="13" spans="1:20" x14ac:dyDescent="0.25">
      <c r="B13" s="163" t="s">
        <v>108</v>
      </c>
      <c r="C13" s="164">
        <v>51146</v>
      </c>
      <c r="D13" s="164">
        <v>64498</v>
      </c>
      <c r="E13" s="164">
        <v>57995</v>
      </c>
      <c r="F13" s="164">
        <v>54129</v>
      </c>
      <c r="G13" s="164">
        <v>54507</v>
      </c>
      <c r="H13" s="164">
        <v>62341</v>
      </c>
      <c r="I13" s="165">
        <f t="shared" si="0"/>
        <v>0.14372465921808208</v>
      </c>
      <c r="J13" s="165">
        <f>H13/H11</f>
        <v>0.12866920120700259</v>
      </c>
      <c r="K13" s="81"/>
      <c r="L13" s="81"/>
      <c r="M13" s="163" t="s">
        <v>108</v>
      </c>
      <c r="N13" s="164">
        <v>4603</v>
      </c>
      <c r="O13" s="164">
        <v>7285</v>
      </c>
      <c r="P13" s="164">
        <v>5391</v>
      </c>
      <c r="Q13" s="164">
        <v>9878</v>
      </c>
      <c r="R13" s="164">
        <v>11182</v>
      </c>
      <c r="S13" s="165">
        <f t="shared" si="1"/>
        <v>0.13201052844705408</v>
      </c>
      <c r="T13" s="165">
        <f>R13/R11</f>
        <v>0.46839525824152811</v>
      </c>
    </row>
    <row r="14" spans="1:20" x14ac:dyDescent="0.25">
      <c r="B14" s="163" t="s">
        <v>105</v>
      </c>
      <c r="C14" s="164">
        <v>60241</v>
      </c>
      <c r="D14" s="164">
        <v>70935</v>
      </c>
      <c r="E14" s="164">
        <v>66583</v>
      </c>
      <c r="F14" s="164">
        <v>67427</v>
      </c>
      <c r="G14" s="164">
        <v>72526</v>
      </c>
      <c r="H14" s="164">
        <v>64394</v>
      </c>
      <c r="I14" s="165">
        <f t="shared" si="0"/>
        <v>-0.11212530678653176</v>
      </c>
      <c r="J14" s="165">
        <f>H14/H11</f>
        <v>0.1329065068337647</v>
      </c>
      <c r="K14" s="81"/>
      <c r="L14" s="81"/>
      <c r="M14" s="163" t="s">
        <v>105</v>
      </c>
      <c r="N14" s="164">
        <v>5325</v>
      </c>
      <c r="O14" s="164">
        <v>5240</v>
      </c>
      <c r="P14" s="164">
        <v>7120</v>
      </c>
      <c r="Q14" s="164">
        <v>6419</v>
      </c>
      <c r="R14" s="164">
        <v>6727</v>
      </c>
      <c r="S14" s="165">
        <f t="shared" si="1"/>
        <v>4.7982551799345741E-2</v>
      </c>
      <c r="T14" s="165">
        <f>R14/R11</f>
        <v>0.28178276714279732</v>
      </c>
    </row>
    <row r="15" spans="1:20" x14ac:dyDescent="0.25">
      <c r="B15" s="159" t="s">
        <v>112</v>
      </c>
      <c r="C15" s="160">
        <v>113577</v>
      </c>
      <c r="D15" s="160">
        <v>319984</v>
      </c>
      <c r="E15" s="160">
        <v>329612</v>
      </c>
      <c r="F15" s="160">
        <v>359242</v>
      </c>
      <c r="G15" s="160">
        <v>358121</v>
      </c>
      <c r="H15" s="160">
        <v>357771</v>
      </c>
      <c r="I15" s="161">
        <f t="shared" si="0"/>
        <v>-9.7732330692701375E-4</v>
      </c>
      <c r="J15" s="161">
        <f>H15/H11</f>
        <v>0.73842429195923265</v>
      </c>
      <c r="K15" s="81"/>
      <c r="L15" s="81"/>
      <c r="M15" s="159" t="s">
        <v>112</v>
      </c>
      <c r="N15" s="160">
        <v>4470</v>
      </c>
      <c r="O15" s="160">
        <v>5558</v>
      </c>
      <c r="P15" s="160">
        <v>5234</v>
      </c>
      <c r="Q15" s="160">
        <v>5335</v>
      </c>
      <c r="R15" s="160">
        <v>5964</v>
      </c>
      <c r="S15" s="161">
        <f t="shared" si="1"/>
        <v>0.11790065604498601</v>
      </c>
      <c r="T15" s="161">
        <f>R15/R11</f>
        <v>0.24982197461567462</v>
      </c>
    </row>
    <row r="16" spans="1:20" x14ac:dyDescent="0.25">
      <c r="B16" s="163" t="s">
        <v>115</v>
      </c>
      <c r="C16" s="164">
        <v>17629</v>
      </c>
      <c r="D16" s="164">
        <v>165818</v>
      </c>
      <c r="E16" s="164">
        <v>170103</v>
      </c>
      <c r="F16" s="164">
        <v>185055</v>
      </c>
      <c r="G16" s="164">
        <v>184554</v>
      </c>
      <c r="H16" s="164">
        <v>188124</v>
      </c>
      <c r="I16" s="165">
        <f t="shared" si="0"/>
        <v>1.9343931857342511E-2</v>
      </c>
      <c r="J16" s="165">
        <f>H16/H11</f>
        <v>0.3882800213000458</v>
      </c>
      <c r="K16" s="81"/>
      <c r="L16" s="81"/>
      <c r="M16" s="163" t="s">
        <v>115</v>
      </c>
      <c r="N16" s="164">
        <v>174</v>
      </c>
      <c r="O16" s="164">
        <v>730</v>
      </c>
      <c r="P16" s="164">
        <v>670</v>
      </c>
      <c r="Q16" s="164">
        <v>605</v>
      </c>
      <c r="R16" s="164">
        <v>600</v>
      </c>
      <c r="S16" s="165">
        <f t="shared" si="1"/>
        <v>-8.2644628099173278E-3</v>
      </c>
      <c r="T16" s="165">
        <f>R16/R11</f>
        <v>2.5132995434172495E-2</v>
      </c>
    </row>
    <row r="17" spans="1:20" x14ac:dyDescent="0.25">
      <c r="B17" s="163" t="s">
        <v>118</v>
      </c>
      <c r="C17" s="164">
        <v>18480</v>
      </c>
      <c r="D17" s="164">
        <v>26193</v>
      </c>
      <c r="E17" s="164">
        <v>28031</v>
      </c>
      <c r="F17" s="164">
        <v>27620</v>
      </c>
      <c r="G17" s="164">
        <v>27424</v>
      </c>
      <c r="H17" s="164">
        <v>24115</v>
      </c>
      <c r="I17" s="165">
        <f t="shared" si="0"/>
        <v>-0.1206607351225204</v>
      </c>
      <c r="J17" s="165">
        <f>H17/H11</f>
        <v>4.977234544051054E-2</v>
      </c>
      <c r="K17" s="81"/>
      <c r="L17" s="81"/>
      <c r="M17" s="163" t="s">
        <v>118</v>
      </c>
      <c r="N17" s="164">
        <v>460</v>
      </c>
      <c r="O17" s="164">
        <v>456</v>
      </c>
      <c r="P17" s="164">
        <v>508</v>
      </c>
      <c r="Q17" s="164">
        <v>495</v>
      </c>
      <c r="R17" s="164">
        <v>515</v>
      </c>
      <c r="S17" s="165">
        <f t="shared" si="1"/>
        <v>4.0404040404040442E-2</v>
      </c>
      <c r="T17" s="165">
        <f>R17/R11</f>
        <v>2.1572487747664727E-2</v>
      </c>
    </row>
    <row r="18" spans="1:20" x14ac:dyDescent="0.25">
      <c r="B18" s="163" t="s">
        <v>121</v>
      </c>
      <c r="C18" s="164">
        <v>11943</v>
      </c>
      <c r="D18" s="164">
        <v>15278</v>
      </c>
      <c r="E18" s="164">
        <v>15033</v>
      </c>
      <c r="F18" s="164">
        <v>17707</v>
      </c>
      <c r="G18" s="164">
        <v>19235</v>
      </c>
      <c r="H18" s="164">
        <v>21089</v>
      </c>
      <c r="I18" s="165">
        <f t="shared" si="0"/>
        <v>9.6386794905120921E-2</v>
      </c>
      <c r="J18" s="165">
        <f>H18/H11</f>
        <v>4.3526808749530452E-2</v>
      </c>
      <c r="K18" s="81"/>
      <c r="L18" s="81"/>
      <c r="M18" s="163" t="s">
        <v>121</v>
      </c>
      <c r="N18" s="164">
        <v>577</v>
      </c>
      <c r="O18" s="164">
        <v>405</v>
      </c>
      <c r="P18" s="164">
        <v>503</v>
      </c>
      <c r="Q18" s="164">
        <v>436</v>
      </c>
      <c r="R18" s="164">
        <v>753</v>
      </c>
      <c r="S18" s="165">
        <f t="shared" si="1"/>
        <v>0.72706422018348627</v>
      </c>
      <c r="T18" s="165">
        <f>R18/R11</f>
        <v>3.1541909269886481E-2</v>
      </c>
    </row>
    <row r="19" spans="1:20" x14ac:dyDescent="0.25">
      <c r="B19" s="163" t="s">
        <v>128</v>
      </c>
      <c r="C19" s="164">
        <v>7761</v>
      </c>
      <c r="D19" s="164">
        <v>15218</v>
      </c>
      <c r="E19" s="164">
        <v>14774</v>
      </c>
      <c r="F19" s="164">
        <v>16518</v>
      </c>
      <c r="G19" s="164">
        <v>15734</v>
      </c>
      <c r="H19" s="164">
        <v>15857</v>
      </c>
      <c r="I19" s="165">
        <f t="shared" si="0"/>
        <v>7.8174653616371881E-3</v>
      </c>
      <c r="J19" s="165">
        <f>H19/H11</f>
        <v>3.272818086876117E-2</v>
      </c>
      <c r="K19" s="81"/>
      <c r="L19" s="81"/>
      <c r="M19" s="163" t="s">
        <v>128</v>
      </c>
      <c r="N19" s="164">
        <v>133</v>
      </c>
      <c r="O19" s="164">
        <v>98</v>
      </c>
      <c r="P19" s="164">
        <v>303</v>
      </c>
      <c r="Q19" s="164">
        <v>146</v>
      </c>
      <c r="R19" s="164">
        <v>207</v>
      </c>
      <c r="S19" s="165">
        <f t="shared" si="1"/>
        <v>0.41780821917808209</v>
      </c>
      <c r="T19" s="165">
        <f>R19/R11</f>
        <v>8.6708834247895116E-3</v>
      </c>
    </row>
    <row r="20" spans="1:20" x14ac:dyDescent="0.25">
      <c r="B20" s="163" t="s">
        <v>124</v>
      </c>
      <c r="C20" s="164">
        <v>8901</v>
      </c>
      <c r="D20" s="164">
        <v>14155</v>
      </c>
      <c r="E20" s="164">
        <v>15345</v>
      </c>
      <c r="F20" s="164">
        <v>15572</v>
      </c>
      <c r="G20" s="164">
        <v>13170</v>
      </c>
      <c r="H20" s="164">
        <v>13658</v>
      </c>
      <c r="I20" s="165">
        <f t="shared" si="0"/>
        <v>3.7053910402429668E-2</v>
      </c>
      <c r="J20" s="165">
        <f>H20/H11</f>
        <v>2.8189537384469956E-2</v>
      </c>
      <c r="K20" s="81"/>
      <c r="L20" s="81"/>
      <c r="M20" s="163" t="s">
        <v>124</v>
      </c>
      <c r="N20" s="164">
        <v>83</v>
      </c>
      <c r="O20" s="164">
        <v>109</v>
      </c>
      <c r="P20" s="164">
        <v>136</v>
      </c>
      <c r="Q20" s="164">
        <v>123</v>
      </c>
      <c r="R20" s="164">
        <v>186</v>
      </c>
      <c r="S20" s="165">
        <f t="shared" si="1"/>
        <v>0.51219512195121952</v>
      </c>
      <c r="T20" s="165">
        <f>R20/R11</f>
        <v>7.7912285845934742E-3</v>
      </c>
    </row>
    <row r="21" spans="1:20" x14ac:dyDescent="0.25">
      <c r="B21" s="163" t="s">
        <v>133</v>
      </c>
      <c r="C21" s="164">
        <v>1270</v>
      </c>
      <c r="D21" s="164">
        <v>2101</v>
      </c>
      <c r="E21" s="164">
        <v>1364</v>
      </c>
      <c r="F21" s="164">
        <v>2173</v>
      </c>
      <c r="G21" s="164">
        <v>2073</v>
      </c>
      <c r="H21" s="164">
        <v>1228</v>
      </c>
      <c r="I21" s="165">
        <f t="shared" si="0"/>
        <v>-0.40762180414857696</v>
      </c>
      <c r="J21" s="165">
        <f>H21/H11</f>
        <v>2.5345403359297923E-3</v>
      </c>
      <c r="K21" s="81"/>
      <c r="L21" s="81"/>
      <c r="M21" s="163" t="s">
        <v>133</v>
      </c>
      <c r="N21" s="164">
        <v>27</v>
      </c>
      <c r="O21" s="164">
        <v>30</v>
      </c>
      <c r="P21" s="164">
        <v>26</v>
      </c>
      <c r="Q21" s="164">
        <v>46</v>
      </c>
      <c r="R21" s="164">
        <v>38</v>
      </c>
      <c r="S21" s="165">
        <f t="shared" si="1"/>
        <v>-0.17391304347826086</v>
      </c>
      <c r="T21" s="165">
        <f>R21/R11</f>
        <v>1.5917563774975915E-3</v>
      </c>
    </row>
    <row r="22" spans="1:20" x14ac:dyDescent="0.25">
      <c r="A22" s="167"/>
      <c r="B22" s="163" t="s">
        <v>136</v>
      </c>
      <c r="C22" s="164">
        <v>216</v>
      </c>
      <c r="D22" s="164">
        <v>648</v>
      </c>
      <c r="E22" s="164">
        <v>849</v>
      </c>
      <c r="F22" s="164">
        <v>563</v>
      </c>
      <c r="G22" s="164">
        <v>480</v>
      </c>
      <c r="H22" s="164">
        <v>516</v>
      </c>
      <c r="I22" s="165">
        <f t="shared" si="0"/>
        <v>7.4999999999999956E-2</v>
      </c>
      <c r="J22" s="165">
        <f>H22/H11</f>
        <v>1.0650022909933004E-3</v>
      </c>
      <c r="K22" s="81"/>
      <c r="L22" s="81"/>
      <c r="M22" s="163" t="s">
        <v>136</v>
      </c>
      <c r="N22" s="164">
        <v>25</v>
      </c>
      <c r="O22" s="164">
        <v>26</v>
      </c>
      <c r="P22" s="164">
        <v>39</v>
      </c>
      <c r="Q22" s="164">
        <v>47</v>
      </c>
      <c r="R22" s="164">
        <v>54</v>
      </c>
      <c r="S22" s="165">
        <f t="shared" si="1"/>
        <v>0.14893617021276606</v>
      </c>
      <c r="T22" s="165">
        <f>R22/R11</f>
        <v>2.2619695890755249E-3</v>
      </c>
    </row>
    <row r="23" spans="1:20" x14ac:dyDescent="0.25">
      <c r="B23" s="168" t="s">
        <v>150</v>
      </c>
      <c r="C23" s="169">
        <f t="shared" ref="C23:H23" si="2">C15-SUM(C16:C22)</f>
        <v>47377</v>
      </c>
      <c r="D23" s="169">
        <f t="shared" si="2"/>
        <v>80573</v>
      </c>
      <c r="E23" s="169">
        <f t="shared" si="2"/>
        <v>84113</v>
      </c>
      <c r="F23" s="169">
        <f t="shared" si="2"/>
        <v>94034</v>
      </c>
      <c r="G23" s="169">
        <f t="shared" si="2"/>
        <v>95451</v>
      </c>
      <c r="H23" s="169">
        <f t="shared" si="2"/>
        <v>93184</v>
      </c>
      <c r="I23" s="170">
        <f t="shared" si="0"/>
        <v>-2.3750405967459698E-2</v>
      </c>
      <c r="J23" s="170">
        <f>H23/H11</f>
        <v>0.19232785558899168</v>
      </c>
      <c r="K23" s="171"/>
      <c r="L23" s="171"/>
      <c r="M23" s="168" t="s">
        <v>150</v>
      </c>
      <c r="N23" s="169">
        <f>N15-SUM(N16:N22)</f>
        <v>2991</v>
      </c>
      <c r="O23" s="169">
        <f>O15-SUM(O16:O22)</f>
        <v>3704</v>
      </c>
      <c r="P23" s="169">
        <f>P15-SUM(P16:P22)</f>
        <v>3049</v>
      </c>
      <c r="Q23" s="169">
        <f>Q15-SUM(Q16:Q22)</f>
        <v>3437</v>
      </c>
      <c r="R23" s="169">
        <f>R15-SUM(R16:R22)</f>
        <v>3611</v>
      </c>
      <c r="S23" s="170">
        <f t="shared" si="1"/>
        <v>5.0625545533895755E-2</v>
      </c>
      <c r="T23" s="170">
        <f>R23/R11</f>
        <v>0.15125874418799481</v>
      </c>
    </row>
    <row r="24" spans="1:20" x14ac:dyDescent="0.25">
      <c r="B24" s="155" t="s">
        <v>46</v>
      </c>
      <c r="C24" s="174"/>
      <c r="D24" s="174"/>
      <c r="E24" s="174"/>
      <c r="F24" s="174"/>
      <c r="G24" s="174"/>
      <c r="H24" s="174"/>
      <c r="I24" s="175"/>
      <c r="J24" s="175"/>
      <c r="K24" s="107"/>
      <c r="L24" s="107"/>
      <c r="M24" s="107"/>
      <c r="N24" s="107"/>
      <c r="O24" s="107"/>
      <c r="P24" s="107"/>
      <c r="Q24" s="107"/>
      <c r="R24" s="107"/>
      <c r="S24" s="107"/>
    </row>
    <row r="25" spans="1:20" x14ac:dyDescent="0.25">
      <c r="B25" s="156" t="s">
        <v>73</v>
      </c>
      <c r="C25" s="176">
        <v>94144</v>
      </c>
      <c r="D25" s="176">
        <v>164843</v>
      </c>
      <c r="E25" s="176">
        <v>164390</v>
      </c>
      <c r="F25" s="176">
        <v>166795</v>
      </c>
      <c r="G25" s="176">
        <v>155966</v>
      </c>
      <c r="H25" s="176">
        <v>163379</v>
      </c>
      <c r="I25" s="177">
        <f t="shared" ref="I25:I37" si="3">IFERROR(H25/G25-1,"-")</f>
        <v>4.7529589782388415E-2</v>
      </c>
      <c r="J25" s="177">
        <f>H25/H25</f>
        <v>1</v>
      </c>
    </row>
    <row r="26" spans="1:20" x14ac:dyDescent="0.25">
      <c r="B26" s="159" t="s">
        <v>102</v>
      </c>
      <c r="C26" s="160">
        <v>41599</v>
      </c>
      <c r="D26" s="160">
        <v>30318</v>
      </c>
      <c r="E26" s="160">
        <v>23399</v>
      </c>
      <c r="F26" s="160">
        <v>19632</v>
      </c>
      <c r="G26" s="160">
        <v>17123</v>
      </c>
      <c r="H26" s="160">
        <v>21169</v>
      </c>
      <c r="I26" s="161">
        <f t="shared" si="3"/>
        <v>0.2362903696782106</v>
      </c>
      <c r="J26" s="161">
        <f>H26/H25</f>
        <v>0.12956989576383746</v>
      </c>
    </row>
    <row r="27" spans="1:20" x14ac:dyDescent="0.25">
      <c r="B27" s="163" t="s">
        <v>108</v>
      </c>
      <c r="C27" s="164">
        <v>19460</v>
      </c>
      <c r="D27" s="164">
        <v>12391</v>
      </c>
      <c r="E27" s="164">
        <v>9758</v>
      </c>
      <c r="F27" s="164">
        <v>8054</v>
      </c>
      <c r="G27" s="164">
        <v>8531</v>
      </c>
      <c r="H27" s="164">
        <v>10035</v>
      </c>
      <c r="I27" s="165">
        <f t="shared" si="3"/>
        <v>0.17629820654085093</v>
      </c>
      <c r="J27" s="165">
        <f>H27/H25</f>
        <v>6.1421602531537098E-2</v>
      </c>
    </row>
    <row r="28" spans="1:20" x14ac:dyDescent="0.25">
      <c r="B28" s="163" t="s">
        <v>105</v>
      </c>
      <c r="C28" s="164">
        <v>22139</v>
      </c>
      <c r="D28" s="164">
        <v>17927</v>
      </c>
      <c r="E28" s="164">
        <v>13641</v>
      </c>
      <c r="F28" s="164">
        <v>11578</v>
      </c>
      <c r="G28" s="164">
        <v>8592</v>
      </c>
      <c r="H28" s="164">
        <v>11134</v>
      </c>
      <c r="I28" s="165">
        <f t="shared" si="3"/>
        <v>0.29585661080074477</v>
      </c>
      <c r="J28" s="165">
        <f>H28/H25</f>
        <v>6.8148293232300358E-2</v>
      </c>
    </row>
    <row r="29" spans="1:20" x14ac:dyDescent="0.25">
      <c r="B29" s="159" t="s">
        <v>112</v>
      </c>
      <c r="C29" s="160">
        <v>52545</v>
      </c>
      <c r="D29" s="160">
        <v>134525</v>
      </c>
      <c r="E29" s="160">
        <v>140991</v>
      </c>
      <c r="F29" s="160">
        <v>147163</v>
      </c>
      <c r="G29" s="160">
        <v>138843</v>
      </c>
      <c r="H29" s="160">
        <v>142210</v>
      </c>
      <c r="I29" s="161">
        <f t="shared" si="3"/>
        <v>2.4250412336235927E-2</v>
      </c>
      <c r="J29" s="161">
        <f>H29/H25</f>
        <v>0.87043010423616252</v>
      </c>
    </row>
    <row r="30" spans="1:20" x14ac:dyDescent="0.25">
      <c r="B30" s="163" t="s">
        <v>115</v>
      </c>
      <c r="C30" s="164">
        <v>9512</v>
      </c>
      <c r="D30" s="164">
        <v>73077</v>
      </c>
      <c r="E30" s="164">
        <v>75697</v>
      </c>
      <c r="F30" s="164">
        <v>79721</v>
      </c>
      <c r="G30" s="164">
        <v>75347</v>
      </c>
      <c r="H30" s="164">
        <v>79743</v>
      </c>
      <c r="I30" s="165">
        <f t="shared" si="3"/>
        <v>5.8343397879145886E-2</v>
      </c>
      <c r="J30" s="165">
        <f>H30/H25</f>
        <v>0.48808598412280646</v>
      </c>
    </row>
    <row r="31" spans="1:20" x14ac:dyDescent="0.25">
      <c r="B31" s="163" t="s">
        <v>118</v>
      </c>
      <c r="C31" s="164">
        <v>11072</v>
      </c>
      <c r="D31" s="164">
        <v>13069</v>
      </c>
      <c r="E31" s="164">
        <v>13728</v>
      </c>
      <c r="F31" s="164">
        <v>13567</v>
      </c>
      <c r="G31" s="164">
        <v>13298</v>
      </c>
      <c r="H31" s="164">
        <v>10846</v>
      </c>
      <c r="I31" s="165">
        <f t="shared" si="3"/>
        <v>-0.18438862986915328</v>
      </c>
      <c r="J31" s="165">
        <f>H31/H25</f>
        <v>6.6385520782964766E-2</v>
      </c>
    </row>
    <row r="32" spans="1:20" x14ac:dyDescent="0.25">
      <c r="B32" s="163" t="s">
        <v>121</v>
      </c>
      <c r="C32" s="164">
        <v>4549</v>
      </c>
      <c r="D32" s="164">
        <v>5091</v>
      </c>
      <c r="E32" s="164">
        <v>5228</v>
      </c>
      <c r="F32" s="164">
        <v>4329</v>
      </c>
      <c r="G32" s="164">
        <v>3905</v>
      </c>
      <c r="H32" s="164">
        <v>5304</v>
      </c>
      <c r="I32" s="165">
        <f t="shared" si="3"/>
        <v>0.35825864276568509</v>
      </c>
      <c r="J32" s="165">
        <f>H32/H25</f>
        <v>3.2464392608597188E-2</v>
      </c>
    </row>
    <row r="33" spans="2:10" x14ac:dyDescent="0.25">
      <c r="B33" s="163" t="s">
        <v>128</v>
      </c>
      <c r="C33" s="164">
        <v>3643</v>
      </c>
      <c r="D33" s="164">
        <v>6649</v>
      </c>
      <c r="E33" s="164">
        <v>6646</v>
      </c>
      <c r="F33" s="164">
        <v>7014</v>
      </c>
      <c r="G33" s="164">
        <v>6460</v>
      </c>
      <c r="H33" s="164">
        <v>7204</v>
      </c>
      <c r="I33" s="165">
        <f t="shared" si="3"/>
        <v>0.11517027863777085</v>
      </c>
      <c r="J33" s="165">
        <f>H33/H25</f>
        <v>4.4093794184075066E-2</v>
      </c>
    </row>
    <row r="34" spans="2:10" x14ac:dyDescent="0.25">
      <c r="B34" s="163" t="s">
        <v>124</v>
      </c>
      <c r="C34" s="164">
        <v>5182</v>
      </c>
      <c r="D34" s="164">
        <v>7856</v>
      </c>
      <c r="E34" s="164">
        <v>8122</v>
      </c>
      <c r="F34" s="164">
        <v>8019</v>
      </c>
      <c r="G34" s="164">
        <v>6462</v>
      </c>
      <c r="H34" s="164">
        <v>7405</v>
      </c>
      <c r="I34" s="165">
        <f t="shared" si="3"/>
        <v>0.14593005261528935</v>
      </c>
      <c r="J34" s="165">
        <f>H34/H25</f>
        <v>4.5324062456007196E-2</v>
      </c>
    </row>
    <row r="35" spans="2:10" x14ac:dyDescent="0.25">
      <c r="B35" s="163" t="s">
        <v>133</v>
      </c>
      <c r="C35" s="164">
        <v>194</v>
      </c>
      <c r="D35" s="164">
        <v>687</v>
      </c>
      <c r="E35" s="164">
        <v>516</v>
      </c>
      <c r="F35" s="164">
        <v>1214</v>
      </c>
      <c r="G35" s="164">
        <v>818</v>
      </c>
      <c r="H35" s="164">
        <v>526</v>
      </c>
      <c r="I35" s="165">
        <f t="shared" si="3"/>
        <v>-0.35696821515892418</v>
      </c>
      <c r="J35" s="165">
        <f>H35/H25</f>
        <v>3.2195080151059805E-3</v>
      </c>
    </row>
    <row r="36" spans="2:10" x14ac:dyDescent="0.25">
      <c r="B36" s="163" t="s">
        <v>136</v>
      </c>
      <c r="C36" s="164">
        <v>70</v>
      </c>
      <c r="D36" s="164">
        <v>242</v>
      </c>
      <c r="E36" s="164">
        <v>388</v>
      </c>
      <c r="F36" s="164">
        <v>247</v>
      </c>
      <c r="G36" s="164">
        <v>142</v>
      </c>
      <c r="H36" s="164">
        <v>181</v>
      </c>
      <c r="I36" s="165">
        <f t="shared" si="3"/>
        <v>0.27464788732394374</v>
      </c>
      <c r="J36" s="165">
        <f>H36/H25</f>
        <v>1.1078535185060504E-3</v>
      </c>
    </row>
    <row r="37" spans="2:10" x14ac:dyDescent="0.25">
      <c r="B37" s="168" t="s">
        <v>150</v>
      </c>
      <c r="C37" s="169">
        <f t="shared" ref="C37:H37" si="4">C29-SUM(C30:C36)</f>
        <v>18323</v>
      </c>
      <c r="D37" s="169">
        <f t="shared" si="4"/>
        <v>27854</v>
      </c>
      <c r="E37" s="169">
        <f t="shared" si="4"/>
        <v>30666</v>
      </c>
      <c r="F37" s="169">
        <f t="shared" si="4"/>
        <v>33052</v>
      </c>
      <c r="G37" s="169">
        <f t="shared" si="4"/>
        <v>32411</v>
      </c>
      <c r="H37" s="169">
        <f t="shared" si="4"/>
        <v>31001</v>
      </c>
      <c r="I37" s="170">
        <f t="shared" si="3"/>
        <v>-4.3503748727283909E-2</v>
      </c>
      <c r="J37" s="170">
        <f>H37/H25</f>
        <v>0.18974898854809982</v>
      </c>
    </row>
    <row r="38" spans="2:10" x14ac:dyDescent="0.25">
      <c r="B38" s="155" t="s">
        <v>47</v>
      </c>
      <c r="C38" s="174"/>
      <c r="D38" s="174"/>
      <c r="E38" s="174"/>
      <c r="F38" s="174"/>
      <c r="G38" s="174"/>
      <c r="H38" s="174"/>
      <c r="I38" s="175"/>
      <c r="J38" s="175"/>
    </row>
    <row r="39" spans="2:10" x14ac:dyDescent="0.25">
      <c r="B39" s="156" t="s">
        <v>73</v>
      </c>
      <c r="C39" s="176">
        <v>42074</v>
      </c>
      <c r="D39" s="176">
        <v>119732</v>
      </c>
      <c r="E39" s="176">
        <v>113228</v>
      </c>
      <c r="F39" s="176">
        <v>121148</v>
      </c>
      <c r="G39" s="176">
        <v>126014</v>
      </c>
      <c r="H39" s="176">
        <v>129184</v>
      </c>
      <c r="I39" s="177">
        <f t="shared" ref="I39:I51" si="5">IFERROR(H39/G39-1,"-")</f>
        <v>2.5155935054835155E-2</v>
      </c>
      <c r="J39" s="177">
        <f>H39/H39</f>
        <v>1</v>
      </c>
    </row>
    <row r="40" spans="2:10" x14ac:dyDescent="0.25">
      <c r="B40" s="159" t="s">
        <v>102</v>
      </c>
      <c r="C40" s="160">
        <v>14397</v>
      </c>
      <c r="D40" s="160">
        <v>18621</v>
      </c>
      <c r="E40" s="160">
        <v>15011</v>
      </c>
      <c r="F40" s="160">
        <v>14582</v>
      </c>
      <c r="G40" s="160">
        <v>13728</v>
      </c>
      <c r="H40" s="160">
        <v>17974</v>
      </c>
      <c r="I40" s="161">
        <f t="shared" si="5"/>
        <v>0.30929487179487181</v>
      </c>
      <c r="J40" s="161">
        <f>H40/H39</f>
        <v>0.13913487738419619</v>
      </c>
    </row>
    <row r="41" spans="2:10" x14ac:dyDescent="0.25">
      <c r="B41" s="163" t="s">
        <v>108</v>
      </c>
      <c r="C41" s="164">
        <v>7964</v>
      </c>
      <c r="D41" s="164">
        <v>8149</v>
      </c>
      <c r="E41" s="164">
        <v>7578</v>
      </c>
      <c r="F41" s="164">
        <v>6983</v>
      </c>
      <c r="G41" s="164">
        <v>6163</v>
      </c>
      <c r="H41" s="164">
        <v>9389</v>
      </c>
      <c r="I41" s="165">
        <f t="shared" si="5"/>
        <v>0.52344637351938994</v>
      </c>
      <c r="J41" s="165">
        <f>H41/H39</f>
        <v>7.2679279167698785E-2</v>
      </c>
    </row>
    <row r="42" spans="2:10" x14ac:dyDescent="0.25">
      <c r="B42" s="163" t="s">
        <v>105</v>
      </c>
      <c r="C42" s="164">
        <v>6433</v>
      </c>
      <c r="D42" s="164">
        <v>10472</v>
      </c>
      <c r="E42" s="164">
        <v>7433</v>
      </c>
      <c r="F42" s="164">
        <v>7599</v>
      </c>
      <c r="G42" s="164">
        <v>7565</v>
      </c>
      <c r="H42" s="164">
        <v>8585</v>
      </c>
      <c r="I42" s="165">
        <f t="shared" si="5"/>
        <v>0.13483146067415741</v>
      </c>
      <c r="J42" s="165">
        <f>H42/H39</f>
        <v>6.6455598216497394E-2</v>
      </c>
    </row>
    <row r="43" spans="2:10" x14ac:dyDescent="0.25">
      <c r="B43" s="159" t="s">
        <v>112</v>
      </c>
      <c r="C43" s="160">
        <v>27677</v>
      </c>
      <c r="D43" s="160">
        <v>101111</v>
      </c>
      <c r="E43" s="160">
        <v>98217</v>
      </c>
      <c r="F43" s="160">
        <v>106566</v>
      </c>
      <c r="G43" s="160">
        <v>112286</v>
      </c>
      <c r="H43" s="160">
        <v>111210</v>
      </c>
      <c r="I43" s="161">
        <f t="shared" si="5"/>
        <v>-9.5826728176263698E-3</v>
      </c>
      <c r="J43" s="161">
        <f>H43/H39</f>
        <v>0.86086512261580383</v>
      </c>
    </row>
    <row r="44" spans="2:10" x14ac:dyDescent="0.25">
      <c r="B44" s="163" t="s">
        <v>115</v>
      </c>
      <c r="C44" s="164">
        <v>4901</v>
      </c>
      <c r="D44" s="164">
        <v>59229</v>
      </c>
      <c r="E44" s="164">
        <v>59283</v>
      </c>
      <c r="F44" s="164">
        <v>64142</v>
      </c>
      <c r="G44" s="164">
        <v>65396</v>
      </c>
      <c r="H44" s="164">
        <v>65922</v>
      </c>
      <c r="I44" s="165">
        <f t="shared" si="5"/>
        <v>8.0433054009418914E-3</v>
      </c>
      <c r="J44" s="165">
        <f>H44/H39</f>
        <v>0.51029539261828094</v>
      </c>
    </row>
    <row r="45" spans="2:10" x14ac:dyDescent="0.25">
      <c r="B45" s="163" t="s">
        <v>118</v>
      </c>
      <c r="C45" s="164">
        <v>1389</v>
      </c>
      <c r="D45" s="164">
        <v>2941</v>
      </c>
      <c r="E45" s="164">
        <v>2520</v>
      </c>
      <c r="F45" s="164">
        <v>2455</v>
      </c>
      <c r="G45" s="164">
        <v>3024</v>
      </c>
      <c r="H45" s="164">
        <v>2764</v>
      </c>
      <c r="I45" s="165">
        <f t="shared" si="5"/>
        <v>-8.5978835978835932E-2</v>
      </c>
      <c r="J45" s="165">
        <f>H45/H39</f>
        <v>2.1395838493931136E-2</v>
      </c>
    </row>
    <row r="46" spans="2:10" x14ac:dyDescent="0.25">
      <c r="B46" s="163" t="s">
        <v>121</v>
      </c>
      <c r="C46" s="164">
        <v>2008</v>
      </c>
      <c r="D46" s="164">
        <v>1994</v>
      </c>
      <c r="E46" s="164">
        <v>2033</v>
      </c>
      <c r="F46" s="164">
        <v>2235</v>
      </c>
      <c r="G46" s="164">
        <v>2708</v>
      </c>
      <c r="H46" s="164">
        <v>4122</v>
      </c>
      <c r="I46" s="165">
        <f t="shared" si="5"/>
        <v>0.52215657311669128</v>
      </c>
      <c r="J46" s="165">
        <f>H46/H39</f>
        <v>3.1907976219965321E-2</v>
      </c>
    </row>
    <row r="47" spans="2:10" x14ac:dyDescent="0.25">
      <c r="B47" s="163" t="s">
        <v>128</v>
      </c>
      <c r="C47" s="164">
        <v>2798</v>
      </c>
      <c r="D47" s="164">
        <v>5544</v>
      </c>
      <c r="E47" s="164">
        <v>4632</v>
      </c>
      <c r="F47" s="164">
        <v>5583</v>
      </c>
      <c r="G47" s="164">
        <v>5587</v>
      </c>
      <c r="H47" s="164">
        <v>4984</v>
      </c>
      <c r="I47" s="165">
        <f t="shared" si="5"/>
        <v>-0.10792912117415432</v>
      </c>
      <c r="J47" s="165">
        <f>H47/H39</f>
        <v>3.8580629180084224E-2</v>
      </c>
    </row>
    <row r="48" spans="2:10" x14ac:dyDescent="0.25">
      <c r="B48" s="163" t="s">
        <v>124</v>
      </c>
      <c r="C48" s="164">
        <v>2128</v>
      </c>
      <c r="D48" s="164">
        <v>3593</v>
      </c>
      <c r="E48" s="164">
        <v>4010</v>
      </c>
      <c r="F48" s="164">
        <v>4277</v>
      </c>
      <c r="G48" s="164">
        <v>3871</v>
      </c>
      <c r="H48" s="164">
        <v>3519</v>
      </c>
      <c r="I48" s="165">
        <f t="shared" si="5"/>
        <v>-9.0932575561870288E-2</v>
      </c>
      <c r="J48" s="165">
        <f>H48/H39</f>
        <v>2.7240215506564282E-2</v>
      </c>
    </row>
    <row r="49" spans="2:10" x14ac:dyDescent="0.25">
      <c r="B49" s="163" t="s">
        <v>133</v>
      </c>
      <c r="C49" s="164">
        <v>841</v>
      </c>
      <c r="D49" s="164">
        <v>835</v>
      </c>
      <c r="E49" s="164">
        <v>490</v>
      </c>
      <c r="F49" s="164">
        <v>639</v>
      </c>
      <c r="G49" s="164">
        <v>629</v>
      </c>
      <c r="H49" s="164">
        <v>310</v>
      </c>
      <c r="I49" s="165">
        <f t="shared" si="5"/>
        <v>-0.50715421303656605</v>
      </c>
      <c r="J49" s="165">
        <f>H49/H39</f>
        <v>2.3996779786970525E-3</v>
      </c>
    </row>
    <row r="50" spans="2:10" x14ac:dyDescent="0.25">
      <c r="B50" s="163" t="s">
        <v>136</v>
      </c>
      <c r="C50" s="164">
        <v>57</v>
      </c>
      <c r="D50" s="164">
        <v>162</v>
      </c>
      <c r="E50" s="164">
        <v>231</v>
      </c>
      <c r="F50" s="164">
        <v>114</v>
      </c>
      <c r="G50" s="164">
        <v>106</v>
      </c>
      <c r="H50" s="164">
        <v>93</v>
      </c>
      <c r="I50" s="165">
        <f t="shared" si="5"/>
        <v>-0.12264150943396224</v>
      </c>
      <c r="J50" s="165">
        <f>H50/H39</f>
        <v>7.1990339360911571E-4</v>
      </c>
    </row>
    <row r="51" spans="2:10" x14ac:dyDescent="0.25">
      <c r="B51" s="168" t="s">
        <v>150</v>
      </c>
      <c r="C51" s="169">
        <f t="shared" ref="C51:H51" si="6">C43-SUM(C44:C50)</f>
        <v>13555</v>
      </c>
      <c r="D51" s="169">
        <f t="shared" si="6"/>
        <v>26813</v>
      </c>
      <c r="E51" s="169">
        <f t="shared" si="6"/>
        <v>25018</v>
      </c>
      <c r="F51" s="169">
        <f t="shared" si="6"/>
        <v>27121</v>
      </c>
      <c r="G51" s="169">
        <f t="shared" si="6"/>
        <v>30965</v>
      </c>
      <c r="H51" s="169">
        <f t="shared" si="6"/>
        <v>29496</v>
      </c>
      <c r="I51" s="170">
        <f t="shared" si="5"/>
        <v>-4.7440658808332037E-2</v>
      </c>
      <c r="J51" s="170">
        <f>H51/H39</f>
        <v>0.22832548922467177</v>
      </c>
    </row>
    <row r="52" spans="2:10" x14ac:dyDescent="0.25">
      <c r="B52" s="155" t="s">
        <v>48</v>
      </c>
      <c r="C52" s="174"/>
      <c r="D52" s="174"/>
      <c r="E52" s="174"/>
      <c r="F52" s="174"/>
      <c r="G52" s="174"/>
      <c r="H52" s="174"/>
      <c r="I52" s="175"/>
      <c r="J52" s="175"/>
    </row>
    <row r="53" spans="2:10" x14ac:dyDescent="0.25">
      <c r="B53" s="156" t="s">
        <v>73</v>
      </c>
      <c r="C53" s="176">
        <v>1838</v>
      </c>
      <c r="D53" s="176">
        <v>2342</v>
      </c>
      <c r="E53" s="176">
        <v>2845</v>
      </c>
      <c r="F53" s="176">
        <v>2508</v>
      </c>
      <c r="G53" s="176">
        <v>2685</v>
      </c>
      <c r="H53" s="176">
        <v>3962</v>
      </c>
      <c r="I53" s="177">
        <f t="shared" ref="I53:I65" si="7">IFERROR(H53/G53-1,"-")</f>
        <v>0.4756052141527003</v>
      </c>
      <c r="J53" s="177">
        <f>H53/H53</f>
        <v>1</v>
      </c>
    </row>
    <row r="54" spans="2:10" x14ac:dyDescent="0.25">
      <c r="B54" s="159" t="s">
        <v>102</v>
      </c>
      <c r="C54" s="160">
        <v>819</v>
      </c>
      <c r="D54" s="160">
        <v>528</v>
      </c>
      <c r="E54" s="160">
        <v>1377</v>
      </c>
      <c r="F54" s="160">
        <v>891</v>
      </c>
      <c r="G54" s="160">
        <v>444</v>
      </c>
      <c r="H54" s="160">
        <v>1746</v>
      </c>
      <c r="I54" s="161">
        <f t="shared" si="7"/>
        <v>2.9324324324324325</v>
      </c>
      <c r="J54" s="161">
        <f>H54/H53</f>
        <v>0.44068652195860675</v>
      </c>
    </row>
    <row r="55" spans="2:10" x14ac:dyDescent="0.25">
      <c r="B55" s="163" t="s">
        <v>108</v>
      </c>
      <c r="C55" s="164">
        <v>476</v>
      </c>
      <c r="D55" s="164">
        <v>272</v>
      </c>
      <c r="E55" s="164">
        <v>1086</v>
      </c>
      <c r="F55" s="164">
        <v>638</v>
      </c>
      <c r="G55" s="164">
        <v>41</v>
      </c>
      <c r="H55" s="164">
        <v>1251</v>
      </c>
      <c r="I55" s="165">
        <f t="shared" si="7"/>
        <v>29.512195121951219</v>
      </c>
      <c r="J55" s="165">
        <f>H55/H53</f>
        <v>0.31574962140333163</v>
      </c>
    </row>
    <row r="56" spans="2:10" x14ac:dyDescent="0.25">
      <c r="B56" s="163" t="s">
        <v>105</v>
      </c>
      <c r="C56" s="164">
        <v>343</v>
      </c>
      <c r="D56" s="164">
        <v>256</v>
      </c>
      <c r="E56" s="164">
        <v>291</v>
      </c>
      <c r="F56" s="164">
        <v>253</v>
      </c>
      <c r="G56" s="164">
        <v>403</v>
      </c>
      <c r="H56" s="164">
        <v>495</v>
      </c>
      <c r="I56" s="165">
        <f t="shared" si="7"/>
        <v>0.22828784119106693</v>
      </c>
      <c r="J56" s="165">
        <f>H56/H53</f>
        <v>0.12493690055527511</v>
      </c>
    </row>
    <row r="57" spans="2:10" x14ac:dyDescent="0.25">
      <c r="B57" s="159" t="s">
        <v>112</v>
      </c>
      <c r="C57" s="160">
        <v>1019</v>
      </c>
      <c r="D57" s="160">
        <v>1814</v>
      </c>
      <c r="E57" s="160">
        <v>1468</v>
      </c>
      <c r="F57" s="160">
        <v>1617</v>
      </c>
      <c r="G57" s="160">
        <v>2241</v>
      </c>
      <c r="H57" s="160">
        <v>2216</v>
      </c>
      <c r="I57" s="161">
        <f t="shared" si="7"/>
        <v>-1.1155734047300303E-2</v>
      </c>
      <c r="J57" s="161">
        <f>H57/H53</f>
        <v>0.5593134780413932</v>
      </c>
    </row>
    <row r="58" spans="2:10" x14ac:dyDescent="0.25">
      <c r="B58" s="163" t="s">
        <v>115</v>
      </c>
      <c r="C58" s="164">
        <v>55</v>
      </c>
      <c r="D58" s="164">
        <v>846</v>
      </c>
      <c r="E58" s="164">
        <v>532</v>
      </c>
      <c r="F58" s="164">
        <v>677</v>
      </c>
      <c r="G58" s="164">
        <v>863</v>
      </c>
      <c r="H58" s="164">
        <v>629</v>
      </c>
      <c r="I58" s="165">
        <f t="shared" si="7"/>
        <v>-0.27114716106604864</v>
      </c>
      <c r="J58" s="165">
        <f>H58/H53</f>
        <v>0.15875820292781423</v>
      </c>
    </row>
    <row r="59" spans="2:10" x14ac:dyDescent="0.25">
      <c r="B59" s="163" t="s">
        <v>118</v>
      </c>
      <c r="C59" s="164">
        <v>365</v>
      </c>
      <c r="D59" s="164">
        <v>195</v>
      </c>
      <c r="E59" s="164">
        <v>189</v>
      </c>
      <c r="F59" s="164">
        <v>299</v>
      </c>
      <c r="G59" s="164">
        <v>291</v>
      </c>
      <c r="H59" s="164">
        <v>365</v>
      </c>
      <c r="I59" s="165">
        <f t="shared" si="7"/>
        <v>0.25429553264604809</v>
      </c>
      <c r="J59" s="165">
        <f>H59/H53</f>
        <v>9.2125189298334173E-2</v>
      </c>
    </row>
    <row r="60" spans="2:10" x14ac:dyDescent="0.25">
      <c r="B60" s="163" t="s">
        <v>121</v>
      </c>
      <c r="C60" s="164">
        <v>104</v>
      </c>
      <c r="D60" s="164">
        <v>166</v>
      </c>
      <c r="E60" s="164">
        <v>166</v>
      </c>
      <c r="F60" s="164">
        <v>55</v>
      </c>
      <c r="G60" s="164">
        <v>281</v>
      </c>
      <c r="H60" s="164">
        <v>274</v>
      </c>
      <c r="I60" s="165">
        <f t="shared" si="7"/>
        <v>-2.4911032028469782E-2</v>
      </c>
      <c r="J60" s="165">
        <f>H60/H53</f>
        <v>6.9156991418475519E-2</v>
      </c>
    </row>
    <row r="61" spans="2:10" x14ac:dyDescent="0.25">
      <c r="B61" s="163" t="s">
        <v>128</v>
      </c>
      <c r="C61" s="164">
        <v>30</v>
      </c>
      <c r="D61" s="164">
        <v>71</v>
      </c>
      <c r="E61" s="164">
        <v>39</v>
      </c>
      <c r="F61" s="164">
        <v>41</v>
      </c>
      <c r="G61" s="164">
        <v>57</v>
      </c>
      <c r="H61" s="164">
        <v>90</v>
      </c>
      <c r="I61" s="165">
        <f t="shared" si="7"/>
        <v>0.57894736842105265</v>
      </c>
      <c r="J61" s="165">
        <f>H61/H53</f>
        <v>2.271580010095911E-2</v>
      </c>
    </row>
    <row r="62" spans="2:10" x14ac:dyDescent="0.25">
      <c r="B62" s="163" t="s">
        <v>124</v>
      </c>
      <c r="C62" s="164">
        <v>57</v>
      </c>
      <c r="D62" s="164">
        <v>51</v>
      </c>
      <c r="E62" s="164">
        <v>24</v>
      </c>
      <c r="F62" s="164">
        <v>5</v>
      </c>
      <c r="G62" s="164">
        <v>63</v>
      </c>
      <c r="H62" s="164">
        <v>65</v>
      </c>
      <c r="I62" s="165">
        <f t="shared" si="7"/>
        <v>3.1746031746031855E-2</v>
      </c>
      <c r="J62" s="165">
        <f>H62/H53</f>
        <v>1.6405855628470471E-2</v>
      </c>
    </row>
    <row r="63" spans="2:10" x14ac:dyDescent="0.25">
      <c r="B63" s="163" t="s">
        <v>133</v>
      </c>
      <c r="C63" s="164">
        <v>10</v>
      </c>
      <c r="D63" s="164">
        <v>13</v>
      </c>
      <c r="E63" s="164">
        <v>3</v>
      </c>
      <c r="F63" s="164">
        <v>6</v>
      </c>
      <c r="G63" s="164">
        <v>6</v>
      </c>
      <c r="H63" s="164">
        <v>22</v>
      </c>
      <c r="I63" s="165">
        <f t="shared" si="7"/>
        <v>2.6666666666666665</v>
      </c>
      <c r="J63" s="165">
        <f>H63/H53</f>
        <v>5.552751135790005E-3</v>
      </c>
    </row>
    <row r="64" spans="2:10" x14ac:dyDescent="0.25">
      <c r="B64" s="163" t="s">
        <v>136</v>
      </c>
      <c r="C64" s="164">
        <v>3</v>
      </c>
      <c r="D64" s="164">
        <v>6</v>
      </c>
      <c r="E64" s="164">
        <v>0</v>
      </c>
      <c r="F64" s="164">
        <v>0</v>
      </c>
      <c r="G64" s="164">
        <v>10</v>
      </c>
      <c r="H64" s="164">
        <v>8</v>
      </c>
      <c r="I64" s="165">
        <f t="shared" si="7"/>
        <v>-0.19999999999999996</v>
      </c>
      <c r="J64" s="165">
        <f>H64/H53</f>
        <v>2.0191822311963654E-3</v>
      </c>
    </row>
    <row r="65" spans="2:10" x14ac:dyDescent="0.25">
      <c r="B65" s="168" t="s">
        <v>150</v>
      </c>
      <c r="C65" s="169">
        <f t="shared" ref="C65:H65" si="8">C57-SUM(C58:C64)</f>
        <v>395</v>
      </c>
      <c r="D65" s="169">
        <f t="shared" si="8"/>
        <v>466</v>
      </c>
      <c r="E65" s="169">
        <f t="shared" si="8"/>
        <v>515</v>
      </c>
      <c r="F65" s="169">
        <f t="shared" si="8"/>
        <v>534</v>
      </c>
      <c r="G65" s="169">
        <f t="shared" si="8"/>
        <v>670</v>
      </c>
      <c r="H65" s="169">
        <f t="shared" si="8"/>
        <v>763</v>
      </c>
      <c r="I65" s="170">
        <f t="shared" si="7"/>
        <v>0.13880597014925367</v>
      </c>
      <c r="J65" s="170">
        <f>H65/H53</f>
        <v>0.19257950530035337</v>
      </c>
    </row>
    <row r="66" spans="2:10" x14ac:dyDescent="0.25">
      <c r="B66" s="155" t="s">
        <v>49</v>
      </c>
      <c r="C66" s="174"/>
      <c r="D66" s="174"/>
      <c r="E66" s="174"/>
      <c r="F66" s="174"/>
      <c r="G66" s="174"/>
      <c r="H66" s="174"/>
      <c r="I66" s="175"/>
      <c r="J66" s="175"/>
    </row>
    <row r="67" spans="2:10" x14ac:dyDescent="0.25">
      <c r="B67" s="156" t="s">
        <v>73</v>
      </c>
      <c r="C67" s="176">
        <v>2379</v>
      </c>
      <c r="D67" s="176">
        <v>24503</v>
      </c>
      <c r="E67" s="176">
        <v>17055</v>
      </c>
      <c r="F67" s="176">
        <v>16852</v>
      </c>
      <c r="G67" s="176">
        <v>17502</v>
      </c>
      <c r="H67" s="176">
        <v>17086</v>
      </c>
      <c r="I67" s="177">
        <f t="shared" ref="I67:I79" si="9">IFERROR(H67/G67-1,"-")</f>
        <v>-2.3768712147183124E-2</v>
      </c>
      <c r="J67" s="177">
        <f>H67/H67</f>
        <v>1</v>
      </c>
    </row>
    <row r="68" spans="2:10" x14ac:dyDescent="0.25">
      <c r="B68" s="159" t="s">
        <v>102</v>
      </c>
      <c r="C68" s="160">
        <v>2073</v>
      </c>
      <c r="D68" s="160">
        <v>11839</v>
      </c>
      <c r="E68" s="160">
        <v>8765</v>
      </c>
      <c r="F68" s="160">
        <v>4179</v>
      </c>
      <c r="G68" s="160">
        <v>6409</v>
      </c>
      <c r="H68" s="160">
        <v>4848</v>
      </c>
      <c r="I68" s="161">
        <f t="shared" si="9"/>
        <v>-0.2435637384927446</v>
      </c>
      <c r="J68" s="161">
        <f>H68/H67</f>
        <v>0.28374107456397052</v>
      </c>
    </row>
    <row r="69" spans="2:10" x14ac:dyDescent="0.25">
      <c r="B69" s="163" t="s">
        <v>108</v>
      </c>
      <c r="C69" s="164">
        <v>1964</v>
      </c>
      <c r="D69" s="164">
        <v>10726</v>
      </c>
      <c r="E69" s="164">
        <v>6962</v>
      </c>
      <c r="F69" s="164">
        <v>1991</v>
      </c>
      <c r="G69" s="164">
        <v>2608</v>
      </c>
      <c r="H69" s="164">
        <v>1862</v>
      </c>
      <c r="I69" s="165">
        <f t="shared" si="9"/>
        <v>-0.28604294478527603</v>
      </c>
      <c r="J69" s="165">
        <f>H69/H67</f>
        <v>0.10897811073393422</v>
      </c>
    </row>
    <row r="70" spans="2:10" x14ac:dyDescent="0.25">
      <c r="B70" s="163" t="s">
        <v>105</v>
      </c>
      <c r="C70" s="164">
        <v>109</v>
      </c>
      <c r="D70" s="164">
        <v>1113</v>
      </c>
      <c r="E70" s="164">
        <v>1803</v>
      </c>
      <c r="F70" s="164">
        <v>2188</v>
      </c>
      <c r="G70" s="164">
        <v>3801</v>
      </c>
      <c r="H70" s="164">
        <v>2986</v>
      </c>
      <c r="I70" s="165">
        <f t="shared" si="9"/>
        <v>-0.21441725861615368</v>
      </c>
      <c r="J70" s="165">
        <f>H70/H67</f>
        <v>0.17476296383003628</v>
      </c>
    </row>
    <row r="71" spans="2:10" x14ac:dyDescent="0.25">
      <c r="B71" s="159" t="s">
        <v>112</v>
      </c>
      <c r="C71" s="160">
        <v>306</v>
      </c>
      <c r="D71" s="160">
        <v>12664</v>
      </c>
      <c r="E71" s="160">
        <v>8290</v>
      </c>
      <c r="F71" s="160">
        <v>12673</v>
      </c>
      <c r="G71" s="160">
        <v>11093</v>
      </c>
      <c r="H71" s="160">
        <v>12238</v>
      </c>
      <c r="I71" s="161">
        <f t="shared" si="9"/>
        <v>0.10321824574055705</v>
      </c>
      <c r="J71" s="161">
        <f>H71/H67</f>
        <v>0.71625892543602954</v>
      </c>
    </row>
    <row r="72" spans="2:10" x14ac:dyDescent="0.25">
      <c r="B72" s="163" t="s">
        <v>115</v>
      </c>
      <c r="C72" s="164">
        <v>0</v>
      </c>
      <c r="D72" s="164">
        <v>7439</v>
      </c>
      <c r="E72" s="164">
        <v>4322</v>
      </c>
      <c r="F72" s="164">
        <v>7702</v>
      </c>
      <c r="G72" s="164">
        <v>6322</v>
      </c>
      <c r="H72" s="164">
        <v>6851</v>
      </c>
      <c r="I72" s="165">
        <f t="shared" si="9"/>
        <v>8.3676051882315639E-2</v>
      </c>
      <c r="J72" s="165">
        <f>H72/H67</f>
        <v>0.40097155565960435</v>
      </c>
    </row>
    <row r="73" spans="2:10" x14ac:dyDescent="0.25">
      <c r="B73" s="163" t="s">
        <v>118</v>
      </c>
      <c r="C73" s="164">
        <v>26</v>
      </c>
      <c r="D73" s="164">
        <v>191</v>
      </c>
      <c r="E73" s="164">
        <v>965</v>
      </c>
      <c r="F73" s="164">
        <v>638</v>
      </c>
      <c r="G73" s="164">
        <v>521</v>
      </c>
      <c r="H73" s="164">
        <v>535</v>
      </c>
      <c r="I73" s="165">
        <f t="shared" si="9"/>
        <v>2.6871401151631558E-2</v>
      </c>
      <c r="J73" s="165">
        <f>H73/H67</f>
        <v>3.1312185414959615E-2</v>
      </c>
    </row>
    <row r="74" spans="2:10" x14ac:dyDescent="0.25">
      <c r="B74" s="163" t="s">
        <v>121</v>
      </c>
      <c r="C74" s="164">
        <v>183</v>
      </c>
      <c r="D74" s="164">
        <v>1449</v>
      </c>
      <c r="E74" s="164">
        <v>303</v>
      </c>
      <c r="F74" s="164">
        <v>899</v>
      </c>
      <c r="G74" s="164">
        <v>794</v>
      </c>
      <c r="H74" s="164">
        <v>793</v>
      </c>
      <c r="I74" s="165">
        <f t="shared" si="9"/>
        <v>-1.2594458438287548E-3</v>
      </c>
      <c r="J74" s="165">
        <f>H74/H67</f>
        <v>4.6412267353388742E-2</v>
      </c>
    </row>
    <row r="75" spans="2:10" x14ac:dyDescent="0.25">
      <c r="B75" s="163" t="s">
        <v>128</v>
      </c>
      <c r="C75" s="164">
        <v>6</v>
      </c>
      <c r="D75" s="164">
        <v>254</v>
      </c>
      <c r="E75" s="164">
        <v>412</v>
      </c>
      <c r="F75" s="164">
        <v>248</v>
      </c>
      <c r="G75" s="164">
        <v>497</v>
      </c>
      <c r="H75" s="164">
        <v>545</v>
      </c>
      <c r="I75" s="165">
        <f t="shared" si="9"/>
        <v>9.6579476861166969E-2</v>
      </c>
      <c r="J75" s="165">
        <f>H75/H67</f>
        <v>3.1897459908697176E-2</v>
      </c>
    </row>
    <row r="76" spans="2:10" x14ac:dyDescent="0.25">
      <c r="B76" s="163" t="s">
        <v>124</v>
      </c>
      <c r="C76" s="164">
        <v>32</v>
      </c>
      <c r="D76" s="164">
        <v>436</v>
      </c>
      <c r="E76" s="164">
        <v>140</v>
      </c>
      <c r="F76" s="164">
        <v>475</v>
      </c>
      <c r="G76" s="164">
        <v>199</v>
      </c>
      <c r="H76" s="164">
        <v>241</v>
      </c>
      <c r="I76" s="165">
        <f t="shared" si="9"/>
        <v>0.21105527638190957</v>
      </c>
      <c r="J76" s="165">
        <f>H76/H67</f>
        <v>1.4105115299075266E-2</v>
      </c>
    </row>
    <row r="77" spans="2:10" x14ac:dyDescent="0.25">
      <c r="B77" s="163" t="s">
        <v>133</v>
      </c>
      <c r="C77" s="164">
        <v>0</v>
      </c>
      <c r="D77" s="164">
        <v>8</v>
      </c>
      <c r="E77" s="164">
        <v>10</v>
      </c>
      <c r="F77" s="164">
        <v>0</v>
      </c>
      <c r="G77" s="164">
        <v>80</v>
      </c>
      <c r="H77" s="164">
        <v>23</v>
      </c>
      <c r="I77" s="165">
        <f t="shared" si="9"/>
        <v>-0.71250000000000002</v>
      </c>
      <c r="J77" s="165">
        <f>H77/H67</f>
        <v>1.3461313355963946E-3</v>
      </c>
    </row>
    <row r="78" spans="2:10" x14ac:dyDescent="0.25">
      <c r="B78" s="163" t="s">
        <v>136</v>
      </c>
      <c r="C78" s="164">
        <v>0</v>
      </c>
      <c r="D78" s="164">
        <v>10</v>
      </c>
      <c r="E78" s="164">
        <v>8</v>
      </c>
      <c r="F78" s="164">
        <v>0</v>
      </c>
      <c r="G78" s="164">
        <v>44</v>
      </c>
      <c r="H78" s="164">
        <v>16</v>
      </c>
      <c r="I78" s="165">
        <f t="shared" si="9"/>
        <v>-0.63636363636363635</v>
      </c>
      <c r="J78" s="165">
        <f>H78/H67</f>
        <v>9.3643918998010062E-4</v>
      </c>
    </row>
    <row r="79" spans="2:10" x14ac:dyDescent="0.25">
      <c r="B79" s="168" t="s">
        <v>150</v>
      </c>
      <c r="C79" s="169">
        <f t="shared" ref="C79:H79" si="10">C71-SUM(C72:C78)</f>
        <v>59</v>
      </c>
      <c r="D79" s="169">
        <f t="shared" si="10"/>
        <v>2877</v>
      </c>
      <c r="E79" s="169">
        <f t="shared" si="10"/>
        <v>2130</v>
      </c>
      <c r="F79" s="169">
        <f t="shared" si="10"/>
        <v>2711</v>
      </c>
      <c r="G79" s="169">
        <f t="shared" si="10"/>
        <v>2636</v>
      </c>
      <c r="H79" s="169">
        <f t="shared" si="10"/>
        <v>3234</v>
      </c>
      <c r="I79" s="170">
        <f t="shared" si="9"/>
        <v>0.22685887708649477</v>
      </c>
      <c r="J79" s="170">
        <f>H79/H67</f>
        <v>0.18927777127472784</v>
      </c>
    </row>
    <row r="80" spans="2:10" x14ac:dyDescent="0.25">
      <c r="B80" s="155" t="s">
        <v>50</v>
      </c>
      <c r="C80" s="174"/>
      <c r="D80" s="174"/>
      <c r="E80" s="174"/>
      <c r="F80" s="174"/>
      <c r="G80" s="174"/>
      <c r="H80" s="174"/>
      <c r="I80" s="175"/>
      <c r="J80" s="175"/>
    </row>
    <row r="81" spans="2:10" x14ac:dyDescent="0.25">
      <c r="B81" s="156" t="s">
        <v>73</v>
      </c>
      <c r="C81" s="176">
        <v>41575</v>
      </c>
      <c r="D81" s="176">
        <v>73949</v>
      </c>
      <c r="E81" s="176">
        <v>76772</v>
      </c>
      <c r="F81" s="176">
        <v>90048</v>
      </c>
      <c r="G81" s="176">
        <v>93840</v>
      </c>
      <c r="H81" s="176">
        <v>87554</v>
      </c>
      <c r="I81" s="177">
        <f t="shared" ref="I81:I93" si="11">IFERROR(H81/G81-1,"-")</f>
        <v>-6.6986359761295855E-2</v>
      </c>
      <c r="J81" s="177">
        <f>H81/H81</f>
        <v>1</v>
      </c>
    </row>
    <row r="82" spans="2:10" x14ac:dyDescent="0.25">
      <c r="B82" s="159" t="s">
        <v>102</v>
      </c>
      <c r="C82" s="160">
        <v>27705</v>
      </c>
      <c r="D82" s="160">
        <v>43951</v>
      </c>
      <c r="E82" s="160">
        <v>41755</v>
      </c>
      <c r="F82" s="160">
        <v>46418</v>
      </c>
      <c r="G82" s="160">
        <v>50534</v>
      </c>
      <c r="H82" s="160">
        <v>46552</v>
      </c>
      <c r="I82" s="161">
        <f t="shared" si="11"/>
        <v>-7.8798432738354407E-2</v>
      </c>
      <c r="J82" s="161">
        <f>H82/H81</f>
        <v>0.5316947255408091</v>
      </c>
    </row>
    <row r="83" spans="2:10" x14ac:dyDescent="0.25">
      <c r="B83" s="163" t="s">
        <v>108</v>
      </c>
      <c r="C83" s="164">
        <v>9791</v>
      </c>
      <c r="D83" s="164">
        <v>16034</v>
      </c>
      <c r="E83" s="164">
        <v>13882</v>
      </c>
      <c r="F83" s="164">
        <v>15137</v>
      </c>
      <c r="G83" s="164">
        <v>14386</v>
      </c>
      <c r="H83" s="164">
        <v>18199</v>
      </c>
      <c r="I83" s="165">
        <f t="shared" si="11"/>
        <v>0.26504935353816217</v>
      </c>
      <c r="J83" s="165">
        <f>H83/H81</f>
        <v>0.20786029193412064</v>
      </c>
    </row>
    <row r="84" spans="2:10" x14ac:dyDescent="0.25">
      <c r="B84" s="163" t="s">
        <v>105</v>
      </c>
      <c r="C84" s="164">
        <v>17914</v>
      </c>
      <c r="D84" s="164">
        <v>27917</v>
      </c>
      <c r="E84" s="164">
        <v>27873</v>
      </c>
      <c r="F84" s="164">
        <v>31281</v>
      </c>
      <c r="G84" s="164">
        <v>36148</v>
      </c>
      <c r="H84" s="164">
        <v>28353</v>
      </c>
      <c r="I84" s="165">
        <f t="shared" si="11"/>
        <v>-0.21564125262808453</v>
      </c>
      <c r="J84" s="165">
        <f>H84/H81</f>
        <v>0.32383443360668845</v>
      </c>
    </row>
    <row r="85" spans="2:10" x14ac:dyDescent="0.25">
      <c r="B85" s="159" t="s">
        <v>112</v>
      </c>
      <c r="C85" s="160">
        <v>13870</v>
      </c>
      <c r="D85" s="160">
        <v>29998</v>
      </c>
      <c r="E85" s="160">
        <v>35017</v>
      </c>
      <c r="F85" s="160">
        <v>43630</v>
      </c>
      <c r="G85" s="160">
        <v>43306</v>
      </c>
      <c r="H85" s="160">
        <v>41002</v>
      </c>
      <c r="I85" s="161">
        <f t="shared" si="11"/>
        <v>-5.3202789451808119E-2</v>
      </c>
      <c r="J85" s="161">
        <f>H85/H81</f>
        <v>0.4683052744591909</v>
      </c>
    </row>
    <row r="86" spans="2:10" x14ac:dyDescent="0.25">
      <c r="B86" s="163" t="s">
        <v>115</v>
      </c>
      <c r="C86" s="164">
        <v>888</v>
      </c>
      <c r="D86" s="164">
        <v>7721</v>
      </c>
      <c r="E86" s="164">
        <v>8724</v>
      </c>
      <c r="F86" s="164">
        <v>10473</v>
      </c>
      <c r="G86" s="164">
        <v>13117</v>
      </c>
      <c r="H86" s="164">
        <v>11614</v>
      </c>
      <c r="I86" s="165">
        <f t="shared" si="11"/>
        <v>-0.11458412746817104</v>
      </c>
      <c r="J86" s="165">
        <f>H86/H81</f>
        <v>0.13264956483998447</v>
      </c>
    </row>
    <row r="87" spans="2:10" x14ac:dyDescent="0.25">
      <c r="B87" s="163" t="s">
        <v>118</v>
      </c>
      <c r="C87" s="164">
        <v>3531</v>
      </c>
      <c r="D87" s="164">
        <v>7419</v>
      </c>
      <c r="E87" s="164">
        <v>7555</v>
      </c>
      <c r="F87" s="164">
        <v>7892</v>
      </c>
      <c r="G87" s="164">
        <v>6964</v>
      </c>
      <c r="H87" s="164">
        <v>6545</v>
      </c>
      <c r="I87" s="165">
        <f t="shared" si="11"/>
        <v>-6.0166570936243557E-2</v>
      </c>
      <c r="J87" s="165">
        <f>H87/H81</f>
        <v>7.4753866185439846E-2</v>
      </c>
    </row>
    <row r="88" spans="2:10" x14ac:dyDescent="0.25">
      <c r="B88" s="163" t="s">
        <v>121</v>
      </c>
      <c r="C88" s="164">
        <v>2026</v>
      </c>
      <c r="D88" s="164">
        <v>2337</v>
      </c>
      <c r="E88" s="164">
        <v>3057</v>
      </c>
      <c r="F88" s="164">
        <v>5388</v>
      </c>
      <c r="G88" s="164">
        <v>5432</v>
      </c>
      <c r="H88" s="164">
        <v>5518</v>
      </c>
      <c r="I88" s="165">
        <f t="shared" si="11"/>
        <v>1.5832106038291549E-2</v>
      </c>
      <c r="J88" s="165">
        <f>H88/H81</f>
        <v>6.3023962354661123E-2</v>
      </c>
    </row>
    <row r="89" spans="2:10" x14ac:dyDescent="0.25">
      <c r="B89" s="163" t="s">
        <v>128</v>
      </c>
      <c r="C89" s="164">
        <v>538</v>
      </c>
      <c r="D89" s="164">
        <v>1018</v>
      </c>
      <c r="E89" s="164">
        <v>1238</v>
      </c>
      <c r="F89" s="164">
        <v>2460</v>
      </c>
      <c r="G89" s="164">
        <v>1643</v>
      </c>
      <c r="H89" s="164">
        <v>1807</v>
      </c>
      <c r="I89" s="165">
        <f t="shared" si="11"/>
        <v>9.9817407181984175E-2</v>
      </c>
      <c r="J89" s="165">
        <f>H89/H81</f>
        <v>2.0638691550357493E-2</v>
      </c>
    </row>
    <row r="90" spans="2:10" x14ac:dyDescent="0.25">
      <c r="B90" s="163" t="s">
        <v>124</v>
      </c>
      <c r="C90" s="164">
        <v>398</v>
      </c>
      <c r="D90" s="164">
        <v>504</v>
      </c>
      <c r="E90" s="164">
        <v>877</v>
      </c>
      <c r="F90" s="164">
        <v>1214</v>
      </c>
      <c r="G90" s="164">
        <v>970</v>
      </c>
      <c r="H90" s="164">
        <v>1134</v>
      </c>
      <c r="I90" s="165">
        <f t="shared" si="11"/>
        <v>0.16907216494845367</v>
      </c>
      <c r="J90" s="165">
        <f>H90/H81</f>
        <v>1.2952006761541448E-2</v>
      </c>
    </row>
    <row r="91" spans="2:10" x14ac:dyDescent="0.25">
      <c r="B91" s="163" t="s">
        <v>133</v>
      </c>
      <c r="C91" s="164">
        <v>138</v>
      </c>
      <c r="D91" s="164">
        <v>397</v>
      </c>
      <c r="E91" s="164">
        <v>138</v>
      </c>
      <c r="F91" s="164">
        <v>219</v>
      </c>
      <c r="G91" s="164">
        <v>365</v>
      </c>
      <c r="H91" s="164">
        <v>143</v>
      </c>
      <c r="I91" s="165">
        <f t="shared" si="11"/>
        <v>-0.60821917808219172</v>
      </c>
      <c r="J91" s="165">
        <f>H91/H81</f>
        <v>1.633277748589442E-3</v>
      </c>
    </row>
    <row r="92" spans="2:10" x14ac:dyDescent="0.25">
      <c r="B92" s="163" t="s">
        <v>136</v>
      </c>
      <c r="C92" s="164">
        <v>40</v>
      </c>
      <c r="D92" s="164">
        <v>149</v>
      </c>
      <c r="E92" s="164">
        <v>127</v>
      </c>
      <c r="F92" s="164">
        <v>69</v>
      </c>
      <c r="G92" s="164">
        <v>62</v>
      </c>
      <c r="H92" s="164">
        <v>74</v>
      </c>
      <c r="I92" s="165">
        <f t="shared" si="11"/>
        <v>0.19354838709677424</v>
      </c>
      <c r="J92" s="165">
        <f>H92/H81</f>
        <v>8.451926810882427E-4</v>
      </c>
    </row>
    <row r="93" spans="2:10" x14ac:dyDescent="0.25">
      <c r="B93" s="168" t="s">
        <v>150</v>
      </c>
      <c r="C93" s="169">
        <f t="shared" ref="C93:H93" si="12">C85-SUM(C86:C92)</f>
        <v>6311</v>
      </c>
      <c r="D93" s="169">
        <f t="shared" si="12"/>
        <v>10453</v>
      </c>
      <c r="E93" s="169">
        <f t="shared" si="12"/>
        <v>13301</v>
      </c>
      <c r="F93" s="169">
        <f t="shared" si="12"/>
        <v>15915</v>
      </c>
      <c r="G93" s="169">
        <f t="shared" si="12"/>
        <v>14753</v>
      </c>
      <c r="H93" s="169">
        <f t="shared" si="12"/>
        <v>14167</v>
      </c>
      <c r="I93" s="170">
        <f t="shared" si="11"/>
        <v>-3.9720734765810395E-2</v>
      </c>
      <c r="J93" s="170">
        <f>H93/H81</f>
        <v>0.16180871233752883</v>
      </c>
    </row>
    <row r="94" spans="2:10" x14ac:dyDescent="0.25">
      <c r="B94" s="155" t="s">
        <v>51</v>
      </c>
      <c r="C94" s="174"/>
      <c r="D94" s="174"/>
      <c r="E94" s="174"/>
      <c r="F94" s="174"/>
      <c r="G94" s="174"/>
      <c r="H94" s="174"/>
      <c r="I94" s="175"/>
      <c r="J94" s="175"/>
    </row>
    <row r="95" spans="2:10" x14ac:dyDescent="0.25">
      <c r="B95" s="156" t="s">
        <v>73</v>
      </c>
      <c r="C95" s="176">
        <v>2428</v>
      </c>
      <c r="D95" s="176">
        <v>4275</v>
      </c>
      <c r="E95" s="176">
        <v>4340</v>
      </c>
      <c r="F95" s="176">
        <v>4593</v>
      </c>
      <c r="G95" s="176">
        <v>3637</v>
      </c>
      <c r="H95" s="176">
        <v>3086</v>
      </c>
      <c r="I95" s="177">
        <f t="shared" ref="I95:I107" si="13">IFERROR(H95/G95-1,"-")</f>
        <v>-0.15149848776464114</v>
      </c>
      <c r="J95" s="177">
        <f>H95/H95</f>
        <v>1</v>
      </c>
    </row>
    <row r="96" spans="2:10" x14ac:dyDescent="0.25">
      <c r="B96" s="159" t="s">
        <v>102</v>
      </c>
      <c r="C96" s="160">
        <v>1624</v>
      </c>
      <c r="D96" s="160">
        <v>3300</v>
      </c>
      <c r="E96" s="160">
        <v>3186</v>
      </c>
      <c r="F96" s="160">
        <v>3447</v>
      </c>
      <c r="G96" s="160">
        <v>2446</v>
      </c>
      <c r="H96" s="160">
        <v>2213</v>
      </c>
      <c r="I96" s="161">
        <f t="shared" si="13"/>
        <v>-9.5257563368765341E-2</v>
      </c>
      <c r="J96" s="161">
        <f>H96/H95</f>
        <v>0.71710952689565777</v>
      </c>
    </row>
    <row r="97" spans="2:10" x14ac:dyDescent="0.25">
      <c r="B97" s="163" t="s">
        <v>108</v>
      </c>
      <c r="C97" s="164">
        <v>630</v>
      </c>
      <c r="D97" s="164">
        <v>1707</v>
      </c>
      <c r="E97" s="164">
        <v>1209</v>
      </c>
      <c r="F97" s="164">
        <v>1616</v>
      </c>
      <c r="G97" s="164">
        <v>818</v>
      </c>
      <c r="H97" s="164">
        <v>1035</v>
      </c>
      <c r="I97" s="165">
        <f t="shared" si="13"/>
        <v>0.26528117359413206</v>
      </c>
      <c r="J97" s="165">
        <f>H97/H95</f>
        <v>0.33538561244329229</v>
      </c>
    </row>
    <row r="98" spans="2:10" x14ac:dyDescent="0.25">
      <c r="B98" s="163" t="s">
        <v>105</v>
      </c>
      <c r="C98" s="164">
        <v>994</v>
      </c>
      <c r="D98" s="164">
        <v>1593</v>
      </c>
      <c r="E98" s="164">
        <v>1977</v>
      </c>
      <c r="F98" s="164">
        <v>1831</v>
      </c>
      <c r="G98" s="164">
        <v>1628</v>
      </c>
      <c r="H98" s="164">
        <v>1178</v>
      </c>
      <c r="I98" s="165">
        <f t="shared" si="13"/>
        <v>-0.2764127764127764</v>
      </c>
      <c r="J98" s="165">
        <f>H98/H95</f>
        <v>0.38172391445236553</v>
      </c>
    </row>
    <row r="99" spans="2:10" x14ac:dyDescent="0.25">
      <c r="B99" s="159" t="s">
        <v>112</v>
      </c>
      <c r="C99" s="160">
        <v>804</v>
      </c>
      <c r="D99" s="160">
        <v>975</v>
      </c>
      <c r="E99" s="160">
        <v>1154</v>
      </c>
      <c r="F99" s="160">
        <v>1146</v>
      </c>
      <c r="G99" s="160">
        <v>1191</v>
      </c>
      <c r="H99" s="160">
        <v>873</v>
      </c>
      <c r="I99" s="161">
        <f t="shared" si="13"/>
        <v>-0.26700251889168769</v>
      </c>
      <c r="J99" s="161">
        <f>H99/H95</f>
        <v>0.28289047310434218</v>
      </c>
    </row>
    <row r="100" spans="2:10" x14ac:dyDescent="0.25">
      <c r="B100" s="163" t="s">
        <v>115</v>
      </c>
      <c r="C100" s="164">
        <v>49</v>
      </c>
      <c r="D100" s="164">
        <v>82</v>
      </c>
      <c r="E100" s="164">
        <v>160</v>
      </c>
      <c r="F100" s="164">
        <v>156</v>
      </c>
      <c r="G100" s="164">
        <v>138</v>
      </c>
      <c r="H100" s="164">
        <v>62</v>
      </c>
      <c r="I100" s="165">
        <f t="shared" si="13"/>
        <v>-0.55072463768115942</v>
      </c>
      <c r="J100" s="165">
        <f>H100/H95</f>
        <v>2.0090732339598186E-2</v>
      </c>
    </row>
    <row r="101" spans="2:10" x14ac:dyDescent="0.25">
      <c r="B101" s="163" t="s">
        <v>118</v>
      </c>
      <c r="C101" s="164">
        <v>120</v>
      </c>
      <c r="D101" s="164">
        <v>136</v>
      </c>
      <c r="E101" s="164">
        <v>108</v>
      </c>
      <c r="F101" s="164">
        <v>124</v>
      </c>
      <c r="G101" s="164">
        <v>124</v>
      </c>
      <c r="H101" s="164">
        <v>121</v>
      </c>
      <c r="I101" s="165">
        <f t="shared" si="13"/>
        <v>-2.4193548387096753E-2</v>
      </c>
      <c r="J101" s="165">
        <f>H101/H95</f>
        <v>3.9209332469215812E-2</v>
      </c>
    </row>
    <row r="102" spans="2:10" x14ac:dyDescent="0.25">
      <c r="B102" s="163" t="s">
        <v>121</v>
      </c>
      <c r="C102" s="164">
        <v>212</v>
      </c>
      <c r="D102" s="164">
        <v>200</v>
      </c>
      <c r="E102" s="164">
        <v>186</v>
      </c>
      <c r="F102" s="164">
        <v>184</v>
      </c>
      <c r="G102" s="164">
        <v>143</v>
      </c>
      <c r="H102" s="164">
        <v>166</v>
      </c>
      <c r="I102" s="165">
        <f t="shared" si="13"/>
        <v>0.16083916083916083</v>
      </c>
      <c r="J102" s="165">
        <f>H102/H95</f>
        <v>5.3791315618924175E-2</v>
      </c>
    </row>
    <row r="103" spans="2:10" x14ac:dyDescent="0.25">
      <c r="B103" s="163" t="s">
        <v>128</v>
      </c>
      <c r="C103" s="164">
        <v>15</v>
      </c>
      <c r="D103" s="164">
        <v>42</v>
      </c>
      <c r="E103" s="164">
        <v>38</v>
      </c>
      <c r="F103" s="164">
        <v>29</v>
      </c>
      <c r="G103" s="164">
        <v>46</v>
      </c>
      <c r="H103" s="164">
        <v>30</v>
      </c>
      <c r="I103" s="165">
        <f t="shared" si="13"/>
        <v>-0.34782608695652173</v>
      </c>
      <c r="J103" s="165">
        <f>H103/H95</f>
        <v>9.7213220998055728E-3</v>
      </c>
    </row>
    <row r="104" spans="2:10" x14ac:dyDescent="0.25">
      <c r="B104" s="163" t="s">
        <v>124</v>
      </c>
      <c r="C104" s="164">
        <v>43</v>
      </c>
      <c r="D104" s="164">
        <v>61</v>
      </c>
      <c r="E104" s="164">
        <v>43</v>
      </c>
      <c r="F104" s="164">
        <v>25</v>
      </c>
      <c r="G104" s="164">
        <v>39</v>
      </c>
      <c r="H104" s="164">
        <v>44</v>
      </c>
      <c r="I104" s="165">
        <f t="shared" si="13"/>
        <v>0.12820512820512819</v>
      </c>
      <c r="J104" s="165">
        <f>H104/H95</f>
        <v>1.4257939079714841E-2</v>
      </c>
    </row>
    <row r="105" spans="2:10" x14ac:dyDescent="0.25">
      <c r="B105" s="163" t="s">
        <v>133</v>
      </c>
      <c r="C105" s="164">
        <v>2</v>
      </c>
      <c r="D105" s="164">
        <v>8</v>
      </c>
      <c r="E105" s="164">
        <v>9</v>
      </c>
      <c r="F105" s="164">
        <v>10</v>
      </c>
      <c r="G105" s="164">
        <v>25</v>
      </c>
      <c r="H105" s="164">
        <v>1</v>
      </c>
      <c r="I105" s="165">
        <f t="shared" si="13"/>
        <v>-0.96</v>
      </c>
      <c r="J105" s="165">
        <f>H105/H95</f>
        <v>3.2404406999351912E-4</v>
      </c>
    </row>
    <row r="106" spans="2:10" x14ac:dyDescent="0.25">
      <c r="B106" s="163" t="s">
        <v>136</v>
      </c>
      <c r="C106" s="164">
        <v>2</v>
      </c>
      <c r="D106" s="164">
        <v>4</v>
      </c>
      <c r="E106" s="164">
        <v>9</v>
      </c>
      <c r="F106" s="164">
        <v>2</v>
      </c>
      <c r="G106" s="164">
        <v>6</v>
      </c>
      <c r="H106" s="164">
        <v>4</v>
      </c>
      <c r="I106" s="165">
        <f t="shared" si="13"/>
        <v>-0.33333333333333337</v>
      </c>
      <c r="J106" s="165">
        <f>H106/H95</f>
        <v>1.2961762799740765E-3</v>
      </c>
    </row>
    <row r="107" spans="2:10" x14ac:dyDescent="0.25">
      <c r="B107" s="168" t="s">
        <v>150</v>
      </c>
      <c r="C107" s="169">
        <f t="shared" ref="C107:H107" si="14">C99-SUM(C100:C106)</f>
        <v>361</v>
      </c>
      <c r="D107" s="169">
        <f t="shared" si="14"/>
        <v>442</v>
      </c>
      <c r="E107" s="169">
        <f t="shared" si="14"/>
        <v>601</v>
      </c>
      <c r="F107" s="169">
        <f t="shared" si="14"/>
        <v>616</v>
      </c>
      <c r="G107" s="169">
        <f t="shared" si="14"/>
        <v>670</v>
      </c>
      <c r="H107" s="169">
        <f t="shared" si="14"/>
        <v>445</v>
      </c>
      <c r="I107" s="170">
        <f t="shared" si="13"/>
        <v>-0.33582089552238803</v>
      </c>
      <c r="J107" s="170">
        <f>H107/H95</f>
        <v>0.14419961114711602</v>
      </c>
    </row>
    <row r="108" spans="2:10" x14ac:dyDescent="0.25">
      <c r="B108" s="155" t="s">
        <v>52</v>
      </c>
      <c r="C108" s="174"/>
      <c r="D108" s="174"/>
      <c r="E108" s="174"/>
      <c r="F108" s="174"/>
      <c r="G108" s="174"/>
      <c r="H108" s="174"/>
      <c r="I108" s="175"/>
      <c r="J108" s="175"/>
    </row>
    <row r="109" spans="2:10" x14ac:dyDescent="0.25">
      <c r="B109" s="156" t="s">
        <v>73</v>
      </c>
      <c r="C109" s="176">
        <v>10658</v>
      </c>
      <c r="D109" s="176">
        <v>15515</v>
      </c>
      <c r="E109" s="176">
        <v>21748</v>
      </c>
      <c r="F109" s="176">
        <v>20589</v>
      </c>
      <c r="G109" s="176">
        <v>22582</v>
      </c>
      <c r="H109" s="176">
        <v>21393</v>
      </c>
      <c r="I109" s="177">
        <f t="shared" ref="I109:I121" si="15">IFERROR(H109/G109-1,"-")</f>
        <v>-5.2652555132406298E-2</v>
      </c>
      <c r="J109" s="177">
        <f>H109/H109</f>
        <v>1</v>
      </c>
    </row>
    <row r="110" spans="2:10" x14ac:dyDescent="0.25">
      <c r="B110" s="159" t="s">
        <v>102</v>
      </c>
      <c r="C110" s="160">
        <v>5879</v>
      </c>
      <c r="D110" s="160">
        <v>5277</v>
      </c>
      <c r="E110" s="160">
        <v>6908</v>
      </c>
      <c r="F110" s="160">
        <v>5357</v>
      </c>
      <c r="G110" s="160">
        <v>6557</v>
      </c>
      <c r="H110" s="160">
        <v>5366</v>
      </c>
      <c r="I110" s="161">
        <f t="shared" si="15"/>
        <v>-0.18163794418179047</v>
      </c>
      <c r="J110" s="161">
        <f>H110/H109</f>
        <v>0.25082971065301735</v>
      </c>
    </row>
    <row r="111" spans="2:10" x14ac:dyDescent="0.25">
      <c r="B111" s="163" t="s">
        <v>108</v>
      </c>
      <c r="C111" s="164">
        <v>1813</v>
      </c>
      <c r="D111" s="164">
        <v>1304</v>
      </c>
      <c r="E111" s="164">
        <v>2963</v>
      </c>
      <c r="F111" s="164">
        <v>1930</v>
      </c>
      <c r="G111" s="164">
        <v>2689</v>
      </c>
      <c r="H111" s="164">
        <v>3266</v>
      </c>
      <c r="I111" s="165">
        <f t="shared" si="15"/>
        <v>0.21457791000371884</v>
      </c>
      <c r="J111" s="165">
        <f>H111/H109</f>
        <v>0.15266676015519096</v>
      </c>
    </row>
    <row r="112" spans="2:10" x14ac:dyDescent="0.25">
      <c r="B112" s="163" t="s">
        <v>105</v>
      </c>
      <c r="C112" s="164">
        <v>4066</v>
      </c>
      <c r="D112" s="164">
        <v>3973</v>
      </c>
      <c r="E112" s="164">
        <v>3945</v>
      </c>
      <c r="F112" s="164">
        <v>3427</v>
      </c>
      <c r="G112" s="164">
        <v>3868</v>
      </c>
      <c r="H112" s="164">
        <v>2100</v>
      </c>
      <c r="I112" s="165">
        <f t="shared" si="15"/>
        <v>-0.4570837642192348</v>
      </c>
      <c r="J112" s="165">
        <f>H112/H109</f>
        <v>9.816295049782639E-2</v>
      </c>
    </row>
    <row r="113" spans="2:10" x14ac:dyDescent="0.25">
      <c r="B113" s="159" t="s">
        <v>112</v>
      </c>
      <c r="C113" s="160">
        <v>4779</v>
      </c>
      <c r="D113" s="160">
        <v>10238</v>
      </c>
      <c r="E113" s="160">
        <v>14840</v>
      </c>
      <c r="F113" s="160">
        <v>15232</v>
      </c>
      <c r="G113" s="160">
        <v>16025</v>
      </c>
      <c r="H113" s="160">
        <v>16027</v>
      </c>
      <c r="I113" s="161">
        <f t="shared" si="15"/>
        <v>1.2480499219957863E-4</v>
      </c>
      <c r="J113" s="161">
        <f>H113/H109</f>
        <v>0.74917028934698271</v>
      </c>
    </row>
    <row r="114" spans="2:10" x14ac:dyDescent="0.25">
      <c r="B114" s="163" t="s">
        <v>115</v>
      </c>
      <c r="C114" s="164">
        <v>1257</v>
      </c>
      <c r="D114" s="164">
        <v>6493</v>
      </c>
      <c r="E114" s="164">
        <v>9714</v>
      </c>
      <c r="F114" s="164">
        <v>9908</v>
      </c>
      <c r="G114" s="164">
        <v>10415</v>
      </c>
      <c r="H114" s="164">
        <v>10806</v>
      </c>
      <c r="I114" s="165">
        <f t="shared" si="15"/>
        <v>3.7542006721075438E-2</v>
      </c>
      <c r="J114" s="165">
        <f>H114/H109</f>
        <v>0.50511849670452957</v>
      </c>
    </row>
    <row r="115" spans="2:10" x14ac:dyDescent="0.25">
      <c r="B115" s="163" t="s">
        <v>118</v>
      </c>
      <c r="C115" s="164">
        <v>425</v>
      </c>
      <c r="D115" s="164">
        <v>235</v>
      </c>
      <c r="E115" s="164">
        <v>368</v>
      </c>
      <c r="F115" s="164">
        <v>525</v>
      </c>
      <c r="G115" s="164">
        <v>572</v>
      </c>
      <c r="H115" s="164">
        <v>444</v>
      </c>
      <c r="I115" s="165">
        <f t="shared" si="15"/>
        <v>-0.22377622377622375</v>
      </c>
      <c r="J115" s="165">
        <f>H115/H109</f>
        <v>2.075445239096901E-2</v>
      </c>
    </row>
    <row r="116" spans="2:10" x14ac:dyDescent="0.25">
      <c r="B116" s="163" t="s">
        <v>121</v>
      </c>
      <c r="C116" s="164">
        <v>690</v>
      </c>
      <c r="D116" s="164">
        <v>516</v>
      </c>
      <c r="E116" s="164">
        <v>780</v>
      </c>
      <c r="F116" s="164">
        <v>1247</v>
      </c>
      <c r="G116" s="164">
        <v>1396</v>
      </c>
      <c r="H116" s="164">
        <v>1117</v>
      </c>
      <c r="I116" s="165">
        <f t="shared" si="15"/>
        <v>-0.19985673352435529</v>
      </c>
      <c r="J116" s="165">
        <f>H116/H109</f>
        <v>5.2213340812415278E-2</v>
      </c>
    </row>
    <row r="117" spans="2:10" x14ac:dyDescent="0.25">
      <c r="B117" s="163" t="s">
        <v>128</v>
      </c>
      <c r="C117" s="164">
        <v>401</v>
      </c>
      <c r="D117" s="164">
        <v>255</v>
      </c>
      <c r="E117" s="164">
        <v>394</v>
      </c>
      <c r="F117" s="164">
        <v>292</v>
      </c>
      <c r="G117" s="164">
        <v>560</v>
      </c>
      <c r="H117" s="164">
        <v>377</v>
      </c>
      <c r="I117" s="165">
        <f t="shared" si="15"/>
        <v>-0.32678571428571423</v>
      </c>
      <c r="J117" s="165">
        <f>H117/H109</f>
        <v>1.7622586827466927E-2</v>
      </c>
    </row>
    <row r="118" spans="2:10" x14ac:dyDescent="0.25">
      <c r="B118" s="163" t="s">
        <v>124</v>
      </c>
      <c r="C118" s="164">
        <v>570</v>
      </c>
      <c r="D118" s="164">
        <v>543</v>
      </c>
      <c r="E118" s="164">
        <v>1051</v>
      </c>
      <c r="F118" s="164">
        <v>327</v>
      </c>
      <c r="G118" s="164">
        <v>536</v>
      </c>
      <c r="H118" s="164">
        <v>218</v>
      </c>
      <c r="I118" s="165">
        <f t="shared" si="15"/>
        <v>-0.59328358208955223</v>
      </c>
      <c r="J118" s="165">
        <f>H118/H109</f>
        <v>1.0190249146917216E-2</v>
      </c>
    </row>
    <row r="119" spans="2:10" x14ac:dyDescent="0.25">
      <c r="B119" s="163" t="s">
        <v>133</v>
      </c>
      <c r="C119" s="164">
        <v>26</v>
      </c>
      <c r="D119" s="164">
        <v>24</v>
      </c>
      <c r="E119" s="164">
        <v>153</v>
      </c>
      <c r="F119" s="164">
        <v>16</v>
      </c>
      <c r="G119" s="164">
        <v>39</v>
      </c>
      <c r="H119" s="164">
        <v>120</v>
      </c>
      <c r="I119" s="165">
        <f t="shared" si="15"/>
        <v>2.0769230769230771</v>
      </c>
      <c r="J119" s="165">
        <f>H119/H109</f>
        <v>5.6093114570186509E-3</v>
      </c>
    </row>
    <row r="120" spans="2:10" x14ac:dyDescent="0.25">
      <c r="B120" s="163" t="s">
        <v>136</v>
      </c>
      <c r="C120" s="164">
        <v>1</v>
      </c>
      <c r="D120" s="164">
        <v>7</v>
      </c>
      <c r="E120" s="164">
        <v>18</v>
      </c>
      <c r="F120" s="164">
        <v>53</v>
      </c>
      <c r="G120" s="164">
        <v>16</v>
      </c>
      <c r="H120" s="164">
        <v>70</v>
      </c>
      <c r="I120" s="165">
        <f t="shared" si="15"/>
        <v>3.375</v>
      </c>
      <c r="J120" s="165">
        <f>H120/H109</f>
        <v>3.2720983499275463E-3</v>
      </c>
    </row>
    <row r="121" spans="2:10" x14ac:dyDescent="0.25">
      <c r="B121" s="168" t="s">
        <v>150</v>
      </c>
      <c r="C121" s="169">
        <f t="shared" ref="C121:H121" si="16">C113-SUM(C114:C120)</f>
        <v>1409</v>
      </c>
      <c r="D121" s="169">
        <f t="shared" si="16"/>
        <v>2165</v>
      </c>
      <c r="E121" s="169">
        <f t="shared" si="16"/>
        <v>2362</v>
      </c>
      <c r="F121" s="169">
        <f t="shared" si="16"/>
        <v>2864</v>
      </c>
      <c r="G121" s="169">
        <f t="shared" si="16"/>
        <v>2491</v>
      </c>
      <c r="H121" s="169">
        <f t="shared" si="16"/>
        <v>2875</v>
      </c>
      <c r="I121" s="170">
        <f t="shared" si="15"/>
        <v>0.15415495784825373</v>
      </c>
      <c r="J121" s="170">
        <f>H121/H109</f>
        <v>0.1343897536577385</v>
      </c>
    </row>
    <row r="122" spans="2:10" x14ac:dyDescent="0.25">
      <c r="B122" s="155" t="s">
        <v>53</v>
      </c>
      <c r="C122" s="174"/>
      <c r="D122" s="174"/>
      <c r="E122" s="174"/>
      <c r="F122" s="174"/>
      <c r="G122" s="174"/>
      <c r="H122" s="174"/>
      <c r="I122" s="175"/>
      <c r="J122" s="175"/>
    </row>
    <row r="123" spans="2:10" x14ac:dyDescent="0.25">
      <c r="B123" s="156" t="s">
        <v>73</v>
      </c>
      <c r="C123" s="176">
        <v>14398</v>
      </c>
      <c r="D123" s="176">
        <v>18083</v>
      </c>
      <c r="E123" s="176">
        <v>17745</v>
      </c>
      <c r="F123" s="176">
        <v>21632</v>
      </c>
      <c r="G123" s="176">
        <v>23873</v>
      </c>
      <c r="H123" s="176">
        <v>21827</v>
      </c>
      <c r="I123" s="177">
        <f t="shared" ref="I123:I135" si="17">IFERROR(H123/G123-1,"-")</f>
        <v>-8.570351443052826E-2</v>
      </c>
      <c r="J123" s="177">
        <f>H123/H123</f>
        <v>1</v>
      </c>
    </row>
    <row r="124" spans="2:10" x14ac:dyDescent="0.25">
      <c r="B124" s="159" t="s">
        <v>102</v>
      </c>
      <c r="C124" s="160">
        <v>9928</v>
      </c>
      <c r="D124" s="160">
        <v>12525</v>
      </c>
      <c r="E124" s="160">
        <v>12511</v>
      </c>
      <c r="F124" s="160">
        <v>16297</v>
      </c>
      <c r="G124" s="160">
        <v>17909</v>
      </c>
      <c r="H124" s="160">
        <v>16731</v>
      </c>
      <c r="I124" s="161">
        <f t="shared" si="17"/>
        <v>-6.57769836395109E-2</v>
      </c>
      <c r="J124" s="161">
        <f>H124/H123</f>
        <v>0.76652769505658125</v>
      </c>
    </row>
    <row r="125" spans="2:10" x14ac:dyDescent="0.25">
      <c r="B125" s="163" t="s">
        <v>108</v>
      </c>
      <c r="C125" s="164">
        <v>4603</v>
      </c>
      <c r="D125" s="164">
        <v>7285</v>
      </c>
      <c r="E125" s="164">
        <v>5391</v>
      </c>
      <c r="F125" s="164">
        <v>9878</v>
      </c>
      <c r="G125" s="164">
        <v>11182</v>
      </c>
      <c r="H125" s="164">
        <v>11326</v>
      </c>
      <c r="I125" s="165">
        <f t="shared" si="17"/>
        <v>1.2877839384725531E-2</v>
      </c>
      <c r="J125" s="165">
        <f>H125/H123</f>
        <v>0.51889861181105967</v>
      </c>
    </row>
    <row r="126" spans="2:10" x14ac:dyDescent="0.25">
      <c r="B126" s="163" t="s">
        <v>105</v>
      </c>
      <c r="C126" s="164">
        <v>5325</v>
      </c>
      <c r="D126" s="164">
        <v>5240</v>
      </c>
      <c r="E126" s="164">
        <v>7120</v>
      </c>
      <c r="F126" s="164">
        <v>6419</v>
      </c>
      <c r="G126" s="164">
        <v>6727</v>
      </c>
      <c r="H126" s="164">
        <v>5405</v>
      </c>
      <c r="I126" s="165">
        <f t="shared" si="17"/>
        <v>-0.19652148060056485</v>
      </c>
      <c r="J126" s="165">
        <f>H126/H123</f>
        <v>0.2476290832455216</v>
      </c>
    </row>
    <row r="127" spans="2:10" x14ac:dyDescent="0.25">
      <c r="B127" s="159" t="s">
        <v>112</v>
      </c>
      <c r="C127" s="160">
        <v>4470</v>
      </c>
      <c r="D127" s="160">
        <v>5558</v>
      </c>
      <c r="E127" s="160">
        <v>5234</v>
      </c>
      <c r="F127" s="160">
        <v>5335</v>
      </c>
      <c r="G127" s="160">
        <v>5964</v>
      </c>
      <c r="H127" s="160">
        <v>5096</v>
      </c>
      <c r="I127" s="161">
        <f t="shared" si="17"/>
        <v>-0.14553990610328638</v>
      </c>
      <c r="J127" s="161">
        <f>H127/H123</f>
        <v>0.2334723049434187</v>
      </c>
    </row>
    <row r="128" spans="2:10" x14ac:dyDescent="0.25">
      <c r="B128" s="163" t="s">
        <v>115</v>
      </c>
      <c r="C128" s="164">
        <v>174</v>
      </c>
      <c r="D128" s="164">
        <v>730</v>
      </c>
      <c r="E128" s="164">
        <v>670</v>
      </c>
      <c r="F128" s="164">
        <v>605</v>
      </c>
      <c r="G128" s="164">
        <v>600</v>
      </c>
      <c r="H128" s="164">
        <v>566</v>
      </c>
      <c r="I128" s="165">
        <f t="shared" si="17"/>
        <v>-5.6666666666666643E-2</v>
      </c>
      <c r="J128" s="165">
        <f>H128/H123</f>
        <v>2.5931186145599486E-2</v>
      </c>
    </row>
    <row r="129" spans="2:10" x14ac:dyDescent="0.25">
      <c r="B129" s="163" t="s">
        <v>118</v>
      </c>
      <c r="C129" s="164">
        <v>460</v>
      </c>
      <c r="D129" s="164">
        <v>456</v>
      </c>
      <c r="E129" s="164">
        <v>508</v>
      </c>
      <c r="F129" s="164">
        <v>495</v>
      </c>
      <c r="G129" s="164">
        <v>515</v>
      </c>
      <c r="H129" s="164">
        <v>408</v>
      </c>
      <c r="I129" s="165">
        <f t="shared" si="17"/>
        <v>-0.20776699029126211</v>
      </c>
      <c r="J129" s="165">
        <f>H129/H123</f>
        <v>1.8692445136757226E-2</v>
      </c>
    </row>
    <row r="130" spans="2:10" x14ac:dyDescent="0.25">
      <c r="B130" s="163" t="s">
        <v>121</v>
      </c>
      <c r="C130" s="164">
        <v>577</v>
      </c>
      <c r="D130" s="164">
        <v>405</v>
      </c>
      <c r="E130" s="164">
        <v>503</v>
      </c>
      <c r="F130" s="164">
        <v>436</v>
      </c>
      <c r="G130" s="164">
        <v>753</v>
      </c>
      <c r="H130" s="164">
        <v>592</v>
      </c>
      <c r="I130" s="165">
        <f t="shared" si="17"/>
        <v>-0.21381142098273576</v>
      </c>
      <c r="J130" s="165">
        <f>H130/H123</f>
        <v>2.7122371374902643E-2</v>
      </c>
    </row>
    <row r="131" spans="2:10" x14ac:dyDescent="0.25">
      <c r="B131" s="163" t="s">
        <v>128</v>
      </c>
      <c r="C131" s="164">
        <v>133</v>
      </c>
      <c r="D131" s="164">
        <v>98</v>
      </c>
      <c r="E131" s="164">
        <v>303</v>
      </c>
      <c r="F131" s="164">
        <v>146</v>
      </c>
      <c r="G131" s="164">
        <v>207</v>
      </c>
      <c r="H131" s="164">
        <v>193</v>
      </c>
      <c r="I131" s="165">
        <f t="shared" si="17"/>
        <v>-6.7632850241545861E-2</v>
      </c>
      <c r="J131" s="165">
        <f>H131/H123</f>
        <v>8.8422595867503548E-3</v>
      </c>
    </row>
    <row r="132" spans="2:10" x14ac:dyDescent="0.25">
      <c r="B132" s="163" t="s">
        <v>124</v>
      </c>
      <c r="C132" s="164">
        <v>83</v>
      </c>
      <c r="D132" s="164">
        <v>109</v>
      </c>
      <c r="E132" s="164">
        <v>136</v>
      </c>
      <c r="F132" s="164">
        <v>123</v>
      </c>
      <c r="G132" s="164">
        <v>186</v>
      </c>
      <c r="H132" s="164">
        <v>166</v>
      </c>
      <c r="I132" s="165">
        <f t="shared" si="17"/>
        <v>-0.10752688172043012</v>
      </c>
      <c r="J132" s="165">
        <f>H132/H123</f>
        <v>7.6052595409355382E-3</v>
      </c>
    </row>
    <row r="133" spans="2:10" x14ac:dyDescent="0.25">
      <c r="B133" s="163" t="s">
        <v>133</v>
      </c>
      <c r="C133" s="164">
        <v>27</v>
      </c>
      <c r="D133" s="164">
        <v>30</v>
      </c>
      <c r="E133" s="164">
        <v>26</v>
      </c>
      <c r="F133" s="164">
        <v>46</v>
      </c>
      <c r="G133" s="164">
        <v>38</v>
      </c>
      <c r="H133" s="164">
        <v>13</v>
      </c>
      <c r="I133" s="165">
        <f t="shared" si="17"/>
        <v>-0.65789473684210531</v>
      </c>
      <c r="J133" s="165">
        <f>H133/H123</f>
        <v>5.9559261465157837E-4</v>
      </c>
    </row>
    <row r="134" spans="2:10" x14ac:dyDescent="0.25">
      <c r="B134" s="163" t="s">
        <v>136</v>
      </c>
      <c r="C134" s="164">
        <v>25</v>
      </c>
      <c r="D134" s="164">
        <v>26</v>
      </c>
      <c r="E134" s="164">
        <v>39</v>
      </c>
      <c r="F134" s="164">
        <v>47</v>
      </c>
      <c r="G134" s="164">
        <v>54</v>
      </c>
      <c r="H134" s="164">
        <v>57</v>
      </c>
      <c r="I134" s="165">
        <f t="shared" si="17"/>
        <v>5.555555555555558E-2</v>
      </c>
      <c r="J134" s="165">
        <f>H134/H123</f>
        <v>2.6114445411646128E-3</v>
      </c>
    </row>
    <row r="135" spans="2:10" x14ac:dyDescent="0.25">
      <c r="B135" s="168" t="s">
        <v>150</v>
      </c>
      <c r="C135" s="169">
        <f t="shared" ref="C135:H135" si="18">C127-SUM(C128:C134)</f>
        <v>2991</v>
      </c>
      <c r="D135" s="169">
        <f t="shared" si="18"/>
        <v>3704</v>
      </c>
      <c r="E135" s="169">
        <f t="shared" si="18"/>
        <v>3049</v>
      </c>
      <c r="F135" s="169">
        <f t="shared" si="18"/>
        <v>3437</v>
      </c>
      <c r="G135" s="169">
        <f t="shared" si="18"/>
        <v>3611</v>
      </c>
      <c r="H135" s="169">
        <f t="shared" si="18"/>
        <v>3101</v>
      </c>
      <c r="I135" s="170">
        <f t="shared" si="17"/>
        <v>-0.14123511492661311</v>
      </c>
      <c r="J135" s="170">
        <f>H135/H123</f>
        <v>0.14207174600265726</v>
      </c>
    </row>
    <row r="136" spans="2:10" x14ac:dyDescent="0.25">
      <c r="B136" s="155" t="s">
        <v>54</v>
      </c>
      <c r="C136" s="174"/>
      <c r="D136" s="174"/>
      <c r="E136" s="174"/>
      <c r="F136" s="174"/>
      <c r="G136" s="174"/>
      <c r="H136" s="174"/>
      <c r="I136" s="175"/>
      <c r="J136" s="175"/>
    </row>
    <row r="137" spans="2:10" x14ac:dyDescent="0.25">
      <c r="B137" s="156" t="s">
        <v>73</v>
      </c>
      <c r="C137" s="176">
        <v>10219</v>
      </c>
      <c r="D137" s="176">
        <v>23111</v>
      </c>
      <c r="E137" s="176">
        <v>26451</v>
      </c>
      <c r="F137" s="176">
        <v>24893</v>
      </c>
      <c r="G137" s="176">
        <v>27952</v>
      </c>
      <c r="H137" s="176">
        <v>27459</v>
      </c>
      <c r="I137" s="177">
        <f t="shared" ref="I137:I149" si="19">IFERROR(H137/G137-1,"-")</f>
        <v>-1.7637378362907796E-2</v>
      </c>
      <c r="J137" s="177">
        <f>H137/H137</f>
        <v>1</v>
      </c>
    </row>
    <row r="138" spans="2:10" x14ac:dyDescent="0.25">
      <c r="B138" s="159" t="s">
        <v>102</v>
      </c>
      <c r="C138" s="160">
        <v>4124</v>
      </c>
      <c r="D138" s="160">
        <v>4035</v>
      </c>
      <c r="E138" s="160">
        <v>5954</v>
      </c>
      <c r="F138" s="160">
        <v>4112</v>
      </c>
      <c r="G138" s="160">
        <v>6200</v>
      </c>
      <c r="H138" s="160">
        <v>5436</v>
      </c>
      <c r="I138" s="161">
        <f t="shared" si="19"/>
        <v>-0.12322580645161285</v>
      </c>
      <c r="J138" s="161">
        <f>H138/H137</f>
        <v>0.19796787938380858</v>
      </c>
    </row>
    <row r="139" spans="2:10" x14ac:dyDescent="0.25">
      <c r="B139" s="163" t="s">
        <v>108</v>
      </c>
      <c r="C139" s="164">
        <v>2148</v>
      </c>
      <c r="D139" s="164">
        <v>2676</v>
      </c>
      <c r="E139" s="164">
        <v>4412</v>
      </c>
      <c r="F139" s="164">
        <v>2896</v>
      </c>
      <c r="G139" s="164">
        <v>4560</v>
      </c>
      <c r="H139" s="164">
        <v>3571</v>
      </c>
      <c r="I139" s="165">
        <f t="shared" si="19"/>
        <v>-0.21688596491228074</v>
      </c>
      <c r="J139" s="165">
        <f>H139/H137</f>
        <v>0.13004843584981246</v>
      </c>
    </row>
    <row r="140" spans="2:10" x14ac:dyDescent="0.25">
      <c r="B140" s="163" t="s">
        <v>105</v>
      </c>
      <c r="C140" s="164">
        <v>1976</v>
      </c>
      <c r="D140" s="164">
        <v>1359</v>
      </c>
      <c r="E140" s="164">
        <v>1542</v>
      </c>
      <c r="F140" s="164">
        <v>1216</v>
      </c>
      <c r="G140" s="164">
        <v>1640</v>
      </c>
      <c r="H140" s="164">
        <v>1865</v>
      </c>
      <c r="I140" s="165">
        <f t="shared" si="19"/>
        <v>0.13719512195121952</v>
      </c>
      <c r="J140" s="165">
        <f>H140/H137</f>
        <v>6.7919443533996135E-2</v>
      </c>
    </row>
    <row r="141" spans="2:10" x14ac:dyDescent="0.25">
      <c r="B141" s="159" t="s">
        <v>112</v>
      </c>
      <c r="C141" s="160">
        <v>6095</v>
      </c>
      <c r="D141" s="160">
        <v>19076</v>
      </c>
      <c r="E141" s="160">
        <v>20497</v>
      </c>
      <c r="F141" s="160">
        <v>20781</v>
      </c>
      <c r="G141" s="160">
        <v>21752</v>
      </c>
      <c r="H141" s="160">
        <v>22023</v>
      </c>
      <c r="I141" s="161">
        <f t="shared" si="19"/>
        <v>1.2458624494299464E-2</v>
      </c>
      <c r="J141" s="161">
        <f>H141/H137</f>
        <v>0.80203212061619145</v>
      </c>
    </row>
    <row r="142" spans="2:10" x14ac:dyDescent="0.25">
      <c r="B142" s="163" t="s">
        <v>115</v>
      </c>
      <c r="C142" s="164">
        <v>659</v>
      </c>
      <c r="D142" s="164">
        <v>8399</v>
      </c>
      <c r="E142" s="164">
        <v>9745</v>
      </c>
      <c r="F142" s="164">
        <v>10171</v>
      </c>
      <c r="G142" s="164">
        <v>10842</v>
      </c>
      <c r="H142" s="164">
        <v>10217</v>
      </c>
      <c r="I142" s="165">
        <f t="shared" si="19"/>
        <v>-5.7646190739715886E-2</v>
      </c>
      <c r="J142" s="165">
        <f>H142/H137</f>
        <v>0.37208201318329143</v>
      </c>
    </row>
    <row r="143" spans="2:10" x14ac:dyDescent="0.25">
      <c r="B143" s="163" t="s">
        <v>118</v>
      </c>
      <c r="C143" s="164">
        <v>675</v>
      </c>
      <c r="D143" s="164">
        <v>1114</v>
      </c>
      <c r="E143" s="164">
        <v>1518</v>
      </c>
      <c r="F143" s="164">
        <v>1166</v>
      </c>
      <c r="G143" s="164">
        <v>1615</v>
      </c>
      <c r="H143" s="164">
        <v>1596</v>
      </c>
      <c r="I143" s="165">
        <f t="shared" si="19"/>
        <v>-1.1764705882352899E-2</v>
      </c>
      <c r="J143" s="165">
        <f>H143/H137</f>
        <v>5.8123019774937182E-2</v>
      </c>
    </row>
    <row r="144" spans="2:10" x14ac:dyDescent="0.25">
      <c r="B144" s="163" t="s">
        <v>121</v>
      </c>
      <c r="C144" s="164">
        <v>1143</v>
      </c>
      <c r="D144" s="164">
        <v>2623</v>
      </c>
      <c r="E144" s="164">
        <v>2026</v>
      </c>
      <c r="F144" s="164">
        <v>1892</v>
      </c>
      <c r="G144" s="164">
        <v>2124</v>
      </c>
      <c r="H144" s="164">
        <v>2136</v>
      </c>
      <c r="I144" s="165">
        <f t="shared" si="19"/>
        <v>5.6497175141243527E-3</v>
      </c>
      <c r="J144" s="165">
        <f>H144/H137</f>
        <v>7.7788703157434719E-2</v>
      </c>
    </row>
    <row r="145" spans="2:10" x14ac:dyDescent="0.25">
      <c r="B145" s="163" t="s">
        <v>128</v>
      </c>
      <c r="C145" s="164">
        <v>160</v>
      </c>
      <c r="D145" s="164">
        <v>1141</v>
      </c>
      <c r="E145" s="164">
        <v>957</v>
      </c>
      <c r="F145" s="164">
        <v>531</v>
      </c>
      <c r="G145" s="164">
        <v>569</v>
      </c>
      <c r="H145" s="164">
        <v>472</v>
      </c>
      <c r="I145" s="165">
        <f t="shared" si="19"/>
        <v>-0.17047451669595781</v>
      </c>
      <c r="J145" s="165">
        <f>H145/H137</f>
        <v>1.7189263993590442E-2</v>
      </c>
    </row>
    <row r="146" spans="2:10" x14ac:dyDescent="0.25">
      <c r="B146" s="163" t="s">
        <v>124</v>
      </c>
      <c r="C146" s="164">
        <v>202</v>
      </c>
      <c r="D146" s="164">
        <v>528</v>
      </c>
      <c r="E146" s="164">
        <v>711</v>
      </c>
      <c r="F146" s="164">
        <v>628</v>
      </c>
      <c r="G146" s="164">
        <v>554</v>
      </c>
      <c r="H146" s="164">
        <v>639</v>
      </c>
      <c r="I146" s="165">
        <f t="shared" si="19"/>
        <v>0.1534296028880866</v>
      </c>
      <c r="J146" s="165">
        <f>H146/H137</f>
        <v>2.3271058669288757E-2</v>
      </c>
    </row>
    <row r="147" spans="2:10" x14ac:dyDescent="0.25">
      <c r="B147" s="163" t="s">
        <v>133</v>
      </c>
      <c r="C147" s="164">
        <v>28</v>
      </c>
      <c r="D147" s="164">
        <v>80</v>
      </c>
      <c r="E147" s="164">
        <v>7</v>
      </c>
      <c r="F147" s="164">
        <v>17</v>
      </c>
      <c r="G147" s="164">
        <v>57</v>
      </c>
      <c r="H147" s="164">
        <v>30</v>
      </c>
      <c r="I147" s="165">
        <f t="shared" si="19"/>
        <v>-0.47368421052631582</v>
      </c>
      <c r="J147" s="165">
        <f>H147/H137</f>
        <v>1.0925379656943079E-3</v>
      </c>
    </row>
    <row r="148" spans="2:10" x14ac:dyDescent="0.25">
      <c r="B148" s="163" t="s">
        <v>136</v>
      </c>
      <c r="C148" s="164">
        <v>12</v>
      </c>
      <c r="D148" s="164">
        <v>29</v>
      </c>
      <c r="E148" s="164">
        <v>14</v>
      </c>
      <c r="F148" s="164">
        <v>25</v>
      </c>
      <c r="G148" s="164">
        <v>25</v>
      </c>
      <c r="H148" s="164">
        <v>7</v>
      </c>
      <c r="I148" s="165">
        <f t="shared" si="19"/>
        <v>-0.72</v>
      </c>
      <c r="J148" s="165">
        <f>H148/H137</f>
        <v>2.5492552532867182E-4</v>
      </c>
    </row>
    <row r="149" spans="2:10" x14ac:dyDescent="0.25">
      <c r="B149" s="168" t="s">
        <v>150</v>
      </c>
      <c r="C149" s="169">
        <f t="shared" ref="C149:H149" si="20">C141-SUM(C142:C148)</f>
        <v>3216</v>
      </c>
      <c r="D149" s="169">
        <f t="shared" si="20"/>
        <v>5162</v>
      </c>
      <c r="E149" s="169">
        <f t="shared" si="20"/>
        <v>5519</v>
      </c>
      <c r="F149" s="169">
        <f t="shared" si="20"/>
        <v>6351</v>
      </c>
      <c r="G149" s="169">
        <f t="shared" si="20"/>
        <v>5966</v>
      </c>
      <c r="H149" s="169">
        <f t="shared" si="20"/>
        <v>6926</v>
      </c>
      <c r="I149" s="170">
        <f t="shared" si="19"/>
        <v>0.1609118337244384</v>
      </c>
      <c r="J149" s="170">
        <f>H149/H137</f>
        <v>0.25223059834662587</v>
      </c>
    </row>
    <row r="150" spans="2:10" x14ac:dyDescent="0.25">
      <c r="B150" s="155" t="s">
        <v>55</v>
      </c>
      <c r="C150" s="174"/>
      <c r="D150" s="174"/>
      <c r="E150" s="174"/>
      <c r="F150" s="174"/>
      <c r="G150" s="174"/>
      <c r="H150" s="174"/>
      <c r="I150" s="175"/>
      <c r="J150" s="175"/>
    </row>
    <row r="151" spans="2:10" x14ac:dyDescent="0.25">
      <c r="B151" s="156" t="s">
        <v>73</v>
      </c>
      <c r="C151" s="176">
        <v>5251</v>
      </c>
      <c r="D151" s="176">
        <v>9064</v>
      </c>
      <c r="E151" s="176">
        <v>9616</v>
      </c>
      <c r="F151" s="176">
        <v>11740</v>
      </c>
      <c r="G151" s="176">
        <v>11103</v>
      </c>
      <c r="H151" s="176">
        <v>9576</v>
      </c>
      <c r="I151" s="177">
        <f t="shared" ref="I151:I163" si="21">IFERROR(H151/G151-1,"-")</f>
        <v>-0.13753039718994864</v>
      </c>
      <c r="J151" s="177">
        <f>H151/H151</f>
        <v>1</v>
      </c>
    </row>
    <row r="152" spans="2:10" x14ac:dyDescent="0.25">
      <c r="B152" s="159" t="s">
        <v>102</v>
      </c>
      <c r="C152" s="160">
        <v>3239</v>
      </c>
      <c r="D152" s="160">
        <v>5039</v>
      </c>
      <c r="E152" s="160">
        <v>5712</v>
      </c>
      <c r="F152" s="160">
        <v>6641</v>
      </c>
      <c r="G152" s="160">
        <v>5683</v>
      </c>
      <c r="H152" s="160">
        <v>4700</v>
      </c>
      <c r="I152" s="161">
        <f t="shared" si="21"/>
        <v>-0.17297202181946159</v>
      </c>
      <c r="J152" s="161">
        <f>H152/H151</f>
        <v>0.49081035923141186</v>
      </c>
    </row>
    <row r="153" spans="2:10" x14ac:dyDescent="0.25">
      <c r="B153" s="163" t="s">
        <v>108</v>
      </c>
      <c r="C153" s="164">
        <v>2297</v>
      </c>
      <c r="D153" s="164">
        <v>3954</v>
      </c>
      <c r="E153" s="164">
        <v>4754</v>
      </c>
      <c r="F153" s="164">
        <v>5006</v>
      </c>
      <c r="G153" s="164">
        <v>3529</v>
      </c>
      <c r="H153" s="164">
        <v>2407</v>
      </c>
      <c r="I153" s="165">
        <f t="shared" si="21"/>
        <v>-0.31793709266081038</v>
      </c>
      <c r="J153" s="165">
        <f>H153/H151</f>
        <v>0.25135756056808689</v>
      </c>
    </row>
    <row r="154" spans="2:10" x14ac:dyDescent="0.25">
      <c r="B154" s="163" t="s">
        <v>105</v>
      </c>
      <c r="C154" s="164">
        <v>942</v>
      </c>
      <c r="D154" s="164">
        <v>1085</v>
      </c>
      <c r="E154" s="164">
        <v>958</v>
      </c>
      <c r="F154" s="164">
        <v>1635</v>
      </c>
      <c r="G154" s="164">
        <v>2154</v>
      </c>
      <c r="H154" s="164">
        <v>2293</v>
      </c>
      <c r="I154" s="165">
        <f t="shared" si="21"/>
        <v>6.4531104921077054E-2</v>
      </c>
      <c r="J154" s="165">
        <f>H154/H151</f>
        <v>0.23945279866332497</v>
      </c>
    </row>
    <row r="155" spans="2:10" x14ac:dyDescent="0.25">
      <c r="B155" s="159" t="s">
        <v>112</v>
      </c>
      <c r="C155" s="160">
        <v>2012</v>
      </c>
      <c r="D155" s="160">
        <v>4025</v>
      </c>
      <c r="E155" s="160">
        <v>3904</v>
      </c>
      <c r="F155" s="160">
        <v>5099</v>
      </c>
      <c r="G155" s="160">
        <v>5420</v>
      </c>
      <c r="H155" s="160">
        <v>4876</v>
      </c>
      <c r="I155" s="161">
        <f t="shared" si="21"/>
        <v>-0.10036900369003687</v>
      </c>
      <c r="J155" s="161">
        <f>H155/H151</f>
        <v>0.50918964076858819</v>
      </c>
    </row>
    <row r="156" spans="2:10" x14ac:dyDescent="0.25">
      <c r="B156" s="163" t="s">
        <v>115</v>
      </c>
      <c r="C156" s="164">
        <v>134</v>
      </c>
      <c r="D156" s="164">
        <v>1802</v>
      </c>
      <c r="E156" s="164">
        <v>1256</v>
      </c>
      <c r="F156" s="164">
        <v>1500</v>
      </c>
      <c r="G156" s="164">
        <v>1514</v>
      </c>
      <c r="H156" s="164">
        <v>1714</v>
      </c>
      <c r="I156" s="165">
        <f t="shared" si="21"/>
        <v>0.13210039630118886</v>
      </c>
      <c r="J156" s="165">
        <f>H156/H151</f>
        <v>0.17898913951545531</v>
      </c>
    </row>
    <row r="157" spans="2:10" x14ac:dyDescent="0.25">
      <c r="B157" s="163" t="s">
        <v>118</v>
      </c>
      <c r="C157" s="164">
        <v>417</v>
      </c>
      <c r="D157" s="164">
        <v>437</v>
      </c>
      <c r="E157" s="164">
        <v>572</v>
      </c>
      <c r="F157" s="164">
        <v>459</v>
      </c>
      <c r="G157" s="164">
        <v>500</v>
      </c>
      <c r="H157" s="164">
        <v>491</v>
      </c>
      <c r="I157" s="165">
        <f t="shared" si="21"/>
        <v>-1.8000000000000016E-2</v>
      </c>
      <c r="J157" s="165">
        <f>H157/H151</f>
        <v>5.1274018379281534E-2</v>
      </c>
    </row>
    <row r="158" spans="2:10" x14ac:dyDescent="0.25">
      <c r="B158" s="163" t="s">
        <v>121</v>
      </c>
      <c r="C158" s="164">
        <v>451</v>
      </c>
      <c r="D158" s="164">
        <v>497</v>
      </c>
      <c r="E158" s="164">
        <v>751</v>
      </c>
      <c r="F158" s="164">
        <v>1042</v>
      </c>
      <c r="G158" s="164">
        <v>1699</v>
      </c>
      <c r="H158" s="164">
        <v>1067</v>
      </c>
      <c r="I158" s="165">
        <f t="shared" si="21"/>
        <v>-0.37198351971748089</v>
      </c>
      <c r="J158" s="165">
        <f>H158/H151</f>
        <v>0.11142439431913116</v>
      </c>
    </row>
    <row r="159" spans="2:10" x14ac:dyDescent="0.25">
      <c r="B159" s="163" t="s">
        <v>128</v>
      </c>
      <c r="C159" s="164">
        <v>37</v>
      </c>
      <c r="D159" s="164">
        <v>146</v>
      </c>
      <c r="E159" s="164">
        <v>115</v>
      </c>
      <c r="F159" s="164">
        <v>174</v>
      </c>
      <c r="G159" s="164">
        <v>108</v>
      </c>
      <c r="H159" s="164">
        <v>155</v>
      </c>
      <c r="I159" s="165">
        <f t="shared" si="21"/>
        <v>0.43518518518518512</v>
      </c>
      <c r="J159" s="165">
        <f>H159/H151</f>
        <v>1.6186299081035922E-2</v>
      </c>
    </row>
    <row r="160" spans="2:10" x14ac:dyDescent="0.25">
      <c r="B160" s="163" t="s">
        <v>124</v>
      </c>
      <c r="C160" s="164">
        <v>206</v>
      </c>
      <c r="D160" s="164">
        <v>474</v>
      </c>
      <c r="E160" s="164">
        <v>231</v>
      </c>
      <c r="F160" s="164">
        <v>479</v>
      </c>
      <c r="G160" s="164">
        <v>290</v>
      </c>
      <c r="H160" s="164">
        <v>227</v>
      </c>
      <c r="I160" s="165">
        <f t="shared" si="21"/>
        <v>-0.21724137931034482</v>
      </c>
      <c r="J160" s="165">
        <f>H160/H151</f>
        <v>2.3705096073517125E-2</v>
      </c>
    </row>
    <row r="161" spans="2:10" x14ac:dyDescent="0.25">
      <c r="B161" s="163" t="s">
        <v>133</v>
      </c>
      <c r="C161" s="164">
        <v>4</v>
      </c>
      <c r="D161" s="164">
        <v>19</v>
      </c>
      <c r="E161" s="164">
        <v>12</v>
      </c>
      <c r="F161" s="164">
        <v>6</v>
      </c>
      <c r="G161" s="164">
        <v>16</v>
      </c>
      <c r="H161" s="164">
        <v>40</v>
      </c>
      <c r="I161" s="165">
        <f t="shared" si="21"/>
        <v>1.5</v>
      </c>
      <c r="J161" s="165">
        <f>H161/H151</f>
        <v>4.1771094402673348E-3</v>
      </c>
    </row>
    <row r="162" spans="2:10" x14ac:dyDescent="0.25">
      <c r="B162" s="163" t="s">
        <v>136</v>
      </c>
      <c r="C162" s="164">
        <v>6</v>
      </c>
      <c r="D162" s="164">
        <v>13</v>
      </c>
      <c r="E162" s="164">
        <v>15</v>
      </c>
      <c r="F162" s="164">
        <v>6</v>
      </c>
      <c r="G162" s="164">
        <v>15</v>
      </c>
      <c r="H162" s="164">
        <v>6</v>
      </c>
      <c r="I162" s="165">
        <f t="shared" si="21"/>
        <v>-0.6</v>
      </c>
      <c r="J162" s="165">
        <f>H162/H151</f>
        <v>6.2656641604010022E-4</v>
      </c>
    </row>
    <row r="163" spans="2:10" x14ac:dyDescent="0.25">
      <c r="B163" s="168" t="s">
        <v>150</v>
      </c>
      <c r="C163" s="169">
        <f t="shared" ref="C163:H163" si="22">C155-SUM(C156:C162)</f>
        <v>757</v>
      </c>
      <c r="D163" s="169">
        <f t="shared" si="22"/>
        <v>637</v>
      </c>
      <c r="E163" s="169">
        <f t="shared" si="22"/>
        <v>952</v>
      </c>
      <c r="F163" s="169">
        <f t="shared" si="22"/>
        <v>1433</v>
      </c>
      <c r="G163" s="169">
        <f t="shared" si="22"/>
        <v>1278</v>
      </c>
      <c r="H163" s="169">
        <f t="shared" si="22"/>
        <v>1176</v>
      </c>
      <c r="I163" s="170">
        <f t="shared" si="21"/>
        <v>-7.9812206572769995E-2</v>
      </c>
      <c r="J163" s="170">
        <f>H163/H151</f>
        <v>0.12280701754385964</v>
      </c>
    </row>
    <row r="164" spans="2:10" x14ac:dyDescent="0.25">
      <c r="C164" s="81"/>
      <c r="D164" s="81"/>
      <c r="E164" s="81"/>
      <c r="F164" s="81"/>
      <c r="G164" s="81"/>
      <c r="H164" s="81"/>
      <c r="I164" s="81"/>
    </row>
    <row r="165" spans="2:10" x14ac:dyDescent="0.25">
      <c r="B165" s="107" t="s">
        <v>57</v>
      </c>
      <c r="C165" s="107"/>
      <c r="D165" s="107"/>
      <c r="E165" s="107"/>
      <c r="F165" s="107"/>
      <c r="G165" s="107"/>
      <c r="H165" s="107"/>
      <c r="I165" s="107"/>
      <c r="J165" s="107"/>
    </row>
  </sheetData>
  <mergeCells count="3">
    <mergeCell ref="B6:J6"/>
    <mergeCell ref="M6:T6"/>
    <mergeCell ref="C8:J8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EE23-836F-4FDE-BA2C-1B11E6BAA32F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  <col min="16" max="25" width="11.42578125" hidden="1" customWidth="1"/>
  </cols>
  <sheetData>
    <row r="1" spans="1:25" ht="42.75" customHeight="1" x14ac:dyDescent="0.25"/>
    <row r="4" spans="1:25" ht="42" customHeight="1" thickBot="1" x14ac:dyDescent="0.3">
      <c r="B4" s="273" t="str">
        <f>CONCATENATE("Viajeros entrados en los establecimientos alojativos de Tenerife según lugar de residencia y municipio de alojamiento (hotel + apartamento)")</f>
        <v>Viajeros entrados en los establecimientos alojativos de Tenerife según lugar de residencia y municipio de alojamiento (hotel + apartamento)</v>
      </c>
      <c r="C4" s="273"/>
      <c r="D4" s="273"/>
      <c r="E4" s="273"/>
      <c r="F4" s="273"/>
      <c r="G4" s="273"/>
      <c r="H4" s="273"/>
      <c r="I4" s="273"/>
      <c r="J4" s="273"/>
      <c r="K4" s="144"/>
      <c r="L4" s="144"/>
      <c r="M4" s="144"/>
      <c r="P4" s="143" t="s">
        <v>269</v>
      </c>
      <c r="Q4" s="144"/>
      <c r="R4" s="144"/>
      <c r="S4" s="144"/>
      <c r="T4" s="144"/>
      <c r="U4" s="144"/>
      <c r="V4" s="144"/>
      <c r="W4" s="144"/>
      <c r="X4" s="144"/>
      <c r="Y4" s="144"/>
    </row>
    <row r="5" spans="1:25" ht="6" customHeight="1" x14ac:dyDescent="0.25"/>
    <row r="6" spans="1:25" ht="15.75" x14ac:dyDescent="0.25">
      <c r="B6" s="145"/>
      <c r="C6" s="307" t="s">
        <v>45</v>
      </c>
      <c r="D6" s="308"/>
      <c r="E6" s="308"/>
      <c r="F6" s="308"/>
      <c r="G6" s="308"/>
      <c r="H6" s="308"/>
      <c r="I6" s="308"/>
      <c r="J6" s="308"/>
      <c r="K6" s="308"/>
      <c r="L6" s="308"/>
      <c r="M6" s="308"/>
      <c r="P6" s="145"/>
      <c r="Q6" s="307" t="s">
        <v>45</v>
      </c>
      <c r="R6" s="308"/>
      <c r="S6" s="308"/>
      <c r="T6" s="308"/>
      <c r="U6" s="308"/>
      <c r="V6" s="308"/>
      <c r="W6" s="308"/>
      <c r="X6" s="308"/>
      <c r="Y6" s="308"/>
    </row>
    <row r="7" spans="1:25" s="146" customFormat="1" ht="72" customHeight="1" x14ac:dyDescent="0.25">
      <c r="B7" s="147"/>
      <c r="C7" s="172" t="s">
        <v>270</v>
      </c>
      <c r="D7" s="172" t="s">
        <v>271</v>
      </c>
      <c r="E7" s="172" t="s">
        <v>272</v>
      </c>
      <c r="F7" s="172" t="s">
        <v>273</v>
      </c>
      <c r="G7" s="172" t="s">
        <v>274</v>
      </c>
      <c r="H7" s="172" t="s">
        <v>275</v>
      </c>
      <c r="I7" s="173" t="str">
        <f>CONCATENATE("var. ",RIGHT(H7,2),"/",RIGHT(G7,2))</f>
        <v>var. 26/25</v>
      </c>
      <c r="J7" s="173" t="str">
        <f>CONCATENATE("var. ",RIGHT(H7,2),"/",RIGHT(D7,2))</f>
        <v>var. 26/22</v>
      </c>
      <c r="K7" s="172" t="str">
        <f>CONCATENATE("dif. ",RIGHT(H7,2),"/",RIGHT(G7,2))</f>
        <v>dif. 26/25</v>
      </c>
      <c r="L7" s="172" t="str">
        <f>CONCATENATE("dif. ",RIGHT(H7,2),"/",RIGHT(D7,2))</f>
        <v>dif. 26/22</v>
      </c>
      <c r="M7" s="173" t="str">
        <f>CONCATENATE("Cuota s/ total lugares de residencia ",RIGHT(H7,4))</f>
        <v>Cuota s/ total lugares de residencia 2026</v>
      </c>
      <c r="P7" s="147"/>
      <c r="Q7" s="172" t="s">
        <v>270</v>
      </c>
      <c r="R7" s="172" t="s">
        <v>271</v>
      </c>
      <c r="S7" s="172" t="s">
        <v>272</v>
      </c>
      <c r="T7" s="172" t="s">
        <v>273</v>
      </c>
      <c r="U7" s="172" t="s">
        <v>274</v>
      </c>
      <c r="V7" s="172" t="s">
        <v>275</v>
      </c>
      <c r="W7" s="173" t="str">
        <f>CONCATENATE("var. ",RIGHT(V7,2),"/",RIGHT(U7,2))</f>
        <v>var. 26/25</v>
      </c>
      <c r="X7" s="172" t="str">
        <f>CONCATENATE("dif. ",RIGHT(V7,2),"/",RIGHT(U7,2))</f>
        <v>dif. 26/25</v>
      </c>
      <c r="Y7" s="173" t="str">
        <f>CONCATENATE("Cuota s/ total lugares de residencia ",RIGHT(V7,4))</f>
        <v>Cuota s/ total lugares de residencia 2026</v>
      </c>
    </row>
    <row r="8" spans="1:25" x14ac:dyDescent="0.25">
      <c r="A8" s="1"/>
      <c r="B8" s="152" t="s">
        <v>45</v>
      </c>
      <c r="C8" s="153"/>
      <c r="D8" s="153"/>
      <c r="E8" s="153"/>
      <c r="F8" s="153"/>
      <c r="G8" s="153"/>
      <c r="H8" s="154"/>
      <c r="I8" s="154"/>
      <c r="J8" s="154"/>
      <c r="K8" s="154"/>
      <c r="L8" s="153"/>
      <c r="M8" s="153"/>
      <c r="P8" s="155" t="s">
        <v>53</v>
      </c>
      <c r="Q8" s="153"/>
      <c r="R8" s="153"/>
      <c r="S8" s="153"/>
      <c r="T8" s="153"/>
      <c r="U8" s="153"/>
      <c r="V8" s="154"/>
      <c r="W8" s="154"/>
      <c r="X8" s="154"/>
      <c r="Y8" s="153"/>
    </row>
    <row r="9" spans="1:25" x14ac:dyDescent="0.25">
      <c r="A9" s="1" t="s">
        <v>101</v>
      </c>
      <c r="B9" s="156" t="s">
        <v>73</v>
      </c>
      <c r="C9" s="176">
        <v>745750</v>
      </c>
      <c r="D9" s="176">
        <v>2658818</v>
      </c>
      <c r="E9" s="176">
        <v>2977588</v>
      </c>
      <c r="F9" s="176">
        <v>3169430</v>
      </c>
      <c r="G9" s="176">
        <v>3151846</v>
      </c>
      <c r="H9" s="176">
        <v>3143788</v>
      </c>
      <c r="I9" s="177">
        <f>IFERROR(H9/G9-1,"-")</f>
        <v>-2.5565969910966713E-3</v>
      </c>
      <c r="J9" s="177">
        <f>IFERROR(H9/D9-1,"-")</f>
        <v>0.18240060056762064</v>
      </c>
      <c r="K9" s="176">
        <f>H9-G9</f>
        <v>-8058</v>
      </c>
      <c r="L9" s="176">
        <f>H9-D9</f>
        <v>484970</v>
      </c>
      <c r="M9" s="177">
        <f t="shared" ref="M9:M21" si="0">H9/H$9</f>
        <v>1</v>
      </c>
      <c r="P9" s="156" t="s">
        <v>73</v>
      </c>
      <c r="Q9" s="176">
        <v>73201</v>
      </c>
      <c r="R9" s="176">
        <v>122504</v>
      </c>
      <c r="S9" s="176">
        <v>144321</v>
      </c>
      <c r="T9" s="176">
        <v>146578</v>
      </c>
      <c r="U9" s="176">
        <v>164634</v>
      </c>
      <c r="V9" s="176">
        <v>168537</v>
      </c>
      <c r="W9" s="177">
        <f>IFERROR(V9/U9-1,"-")</f>
        <v>2.3707132184117574E-2</v>
      </c>
      <c r="X9" s="176">
        <f>V9-U9</f>
        <v>3903</v>
      </c>
      <c r="Y9" s="177">
        <f t="shared" ref="Y9:Y21" si="1">V9/V$9</f>
        <v>1</v>
      </c>
    </row>
    <row r="10" spans="1:25" x14ac:dyDescent="0.25">
      <c r="A10" s="162" t="s">
        <v>108</v>
      </c>
      <c r="B10" s="159" t="s">
        <v>102</v>
      </c>
      <c r="C10" s="160">
        <v>384545</v>
      </c>
      <c r="D10" s="160">
        <v>582661</v>
      </c>
      <c r="E10" s="160">
        <v>612082</v>
      </c>
      <c r="F10" s="160">
        <v>603347</v>
      </c>
      <c r="G10" s="160">
        <v>607670</v>
      </c>
      <c r="H10" s="160">
        <v>633401</v>
      </c>
      <c r="I10" s="178">
        <f>IFERROR(H10/G10-1,"-")</f>
        <v>4.2343706287952365E-2</v>
      </c>
      <c r="J10" s="161">
        <f t="shared" ref="J10:J21" si="2">IFERROR(H10/D10-1,"-")</f>
        <v>8.7083226781953904E-2</v>
      </c>
      <c r="K10" s="160">
        <f t="shared" ref="K10:K20" si="3">H10-G10</f>
        <v>25731</v>
      </c>
      <c r="L10" s="160">
        <f t="shared" ref="L10:L21" si="4">H10-D10</f>
        <v>50740</v>
      </c>
      <c r="M10" s="161">
        <f t="shared" si="0"/>
        <v>0.20147700799163301</v>
      </c>
      <c r="P10" s="159" t="s">
        <v>102</v>
      </c>
      <c r="Q10" s="160">
        <v>48582</v>
      </c>
      <c r="R10" s="160">
        <v>75501</v>
      </c>
      <c r="S10" s="160">
        <v>88976</v>
      </c>
      <c r="T10" s="160">
        <v>91656</v>
      </c>
      <c r="U10" s="160">
        <v>105634</v>
      </c>
      <c r="V10" s="160">
        <v>105943</v>
      </c>
      <c r="W10" s="178">
        <f>IFERROR(V10/U10-1,"-")</f>
        <v>2.9251945396369106E-3</v>
      </c>
      <c r="X10" s="159">
        <f t="shared" ref="X10:X20" si="5">V10-U10</f>
        <v>309</v>
      </c>
      <c r="Y10" s="161">
        <f t="shared" si="1"/>
        <v>0.62860380806588467</v>
      </c>
    </row>
    <row r="11" spans="1:25" x14ac:dyDescent="0.25">
      <c r="A11" s="162" t="s">
        <v>105</v>
      </c>
      <c r="B11" s="163" t="s">
        <v>108</v>
      </c>
      <c r="C11" s="164">
        <v>229473</v>
      </c>
      <c r="D11" s="164">
        <v>253134</v>
      </c>
      <c r="E11" s="164">
        <v>256518</v>
      </c>
      <c r="F11" s="164">
        <v>242968</v>
      </c>
      <c r="G11" s="164">
        <v>231301</v>
      </c>
      <c r="H11" s="164">
        <v>272586</v>
      </c>
      <c r="I11" s="179">
        <f>IFERROR(H11/G11-1,"-")</f>
        <v>0.17849036536807028</v>
      </c>
      <c r="J11" s="165">
        <f t="shared" si="2"/>
        <v>7.6844675152290876E-2</v>
      </c>
      <c r="K11" s="164">
        <f t="shared" si="3"/>
        <v>41285</v>
      </c>
      <c r="L11" s="164">
        <f t="shared" si="4"/>
        <v>19452</v>
      </c>
      <c r="M11" s="165">
        <f t="shared" si="0"/>
        <v>8.6706228282568673E-2</v>
      </c>
      <c r="P11" s="163" t="s">
        <v>108</v>
      </c>
      <c r="Q11" s="164">
        <v>25464</v>
      </c>
      <c r="R11" s="164">
        <v>38799</v>
      </c>
      <c r="S11" s="164">
        <v>40952</v>
      </c>
      <c r="T11" s="164">
        <v>43382</v>
      </c>
      <c r="U11" s="164">
        <v>55226</v>
      </c>
      <c r="V11" s="164">
        <v>55216</v>
      </c>
      <c r="W11" s="179">
        <f>IFERROR(V11/U11-1,"-")</f>
        <v>-1.8107413174950349E-4</v>
      </c>
      <c r="X11" s="163">
        <f t="shared" si="5"/>
        <v>-10</v>
      </c>
      <c r="Y11" s="165">
        <f>V11/V$9</f>
        <v>0.32761945448180518</v>
      </c>
    </row>
    <row r="12" spans="1:25" x14ac:dyDescent="0.25">
      <c r="A12" s="1"/>
      <c r="B12" s="163" t="s">
        <v>105</v>
      </c>
      <c r="C12" s="164">
        <v>155072</v>
      </c>
      <c r="D12" s="164">
        <v>329527</v>
      </c>
      <c r="E12" s="164">
        <v>355564</v>
      </c>
      <c r="F12" s="164">
        <v>360379</v>
      </c>
      <c r="G12" s="164">
        <v>376369</v>
      </c>
      <c r="H12" s="164">
        <v>360815</v>
      </c>
      <c r="I12" s="179">
        <f>IFERROR(H12/G12-1,"-")</f>
        <v>-4.1326464188070733E-2</v>
      </c>
      <c r="J12" s="165">
        <f t="shared" si="2"/>
        <v>9.4948213651688596E-2</v>
      </c>
      <c r="K12" s="164">
        <f t="shared" si="3"/>
        <v>-15554</v>
      </c>
      <c r="L12" s="164">
        <f t="shared" si="4"/>
        <v>31288</v>
      </c>
      <c r="M12" s="165">
        <f t="shared" si="0"/>
        <v>0.11477077970906435</v>
      </c>
      <c r="P12" s="163" t="s">
        <v>105</v>
      </c>
      <c r="Q12" s="164">
        <v>23118</v>
      </c>
      <c r="R12" s="164">
        <v>36702</v>
      </c>
      <c r="S12" s="164">
        <v>48024</v>
      </c>
      <c r="T12" s="164">
        <v>48274</v>
      </c>
      <c r="U12" s="164">
        <v>50408</v>
      </c>
      <c r="V12" s="164">
        <v>50727</v>
      </c>
      <c r="W12" s="179">
        <f>IFERROR(V12/U12-1,"-")</f>
        <v>6.328360577686043E-3</v>
      </c>
      <c r="X12" s="163">
        <f t="shared" si="5"/>
        <v>319</v>
      </c>
      <c r="Y12" s="165">
        <f t="shared" si="1"/>
        <v>0.30098435358407943</v>
      </c>
    </row>
    <row r="13" spans="1:25" s="57" customFormat="1" x14ac:dyDescent="0.25">
      <c r="B13" s="159" t="s">
        <v>112</v>
      </c>
      <c r="C13" s="160">
        <v>361205</v>
      </c>
      <c r="D13" s="160">
        <v>2076157</v>
      </c>
      <c r="E13" s="160">
        <v>2365506</v>
      </c>
      <c r="F13" s="160">
        <v>2566083</v>
      </c>
      <c r="G13" s="160">
        <v>2544176</v>
      </c>
      <c r="H13" s="160">
        <v>2510387</v>
      </c>
      <c r="I13" s="178">
        <f>IFERROR(H13/G13-1,"-")</f>
        <v>-1.328092081679888E-2</v>
      </c>
      <c r="J13" s="161">
        <f t="shared" si="2"/>
        <v>0.20915084938181461</v>
      </c>
      <c r="K13" s="160">
        <f t="shared" si="3"/>
        <v>-33789</v>
      </c>
      <c r="L13" s="160">
        <f t="shared" si="4"/>
        <v>434230</v>
      </c>
      <c r="M13" s="161">
        <f t="shared" si="0"/>
        <v>0.79852299200836696</v>
      </c>
      <c r="P13" s="159" t="s">
        <v>112</v>
      </c>
      <c r="Q13" s="160">
        <v>24619</v>
      </c>
      <c r="R13" s="160">
        <v>47003</v>
      </c>
      <c r="S13" s="160">
        <v>55345</v>
      </c>
      <c r="T13" s="160">
        <v>54922</v>
      </c>
      <c r="U13" s="160">
        <v>59000</v>
      </c>
      <c r="V13" s="160">
        <v>62594</v>
      </c>
      <c r="W13" s="178">
        <f>IFERROR(V13/U13-1,"-")</f>
        <v>6.0915254237288163E-2</v>
      </c>
      <c r="X13" s="159">
        <f t="shared" si="5"/>
        <v>3594</v>
      </c>
      <c r="Y13" s="161">
        <f t="shared" si="1"/>
        <v>0.37139619193411538</v>
      </c>
    </row>
    <row r="14" spans="1:25" s="57" customFormat="1" x14ac:dyDescent="0.25">
      <c r="B14" s="163" t="s">
        <v>115</v>
      </c>
      <c r="C14" s="164">
        <v>31530</v>
      </c>
      <c r="D14" s="164">
        <v>942987</v>
      </c>
      <c r="E14" s="164">
        <v>1094069</v>
      </c>
      <c r="F14" s="164">
        <v>1197520</v>
      </c>
      <c r="G14" s="164">
        <v>1196308</v>
      </c>
      <c r="H14" s="164">
        <v>1186713</v>
      </c>
      <c r="I14" s="179">
        <f t="shared" ref="I14:I21" si="6">IFERROR(H14/G14-1,"-")</f>
        <v>-8.0205097683874182E-3</v>
      </c>
      <c r="J14" s="165">
        <f t="shared" si="2"/>
        <v>0.25846167550560084</v>
      </c>
      <c r="K14" s="164">
        <f t="shared" si="3"/>
        <v>-9595</v>
      </c>
      <c r="L14" s="164">
        <f t="shared" si="4"/>
        <v>243726</v>
      </c>
      <c r="M14" s="165">
        <f t="shared" si="0"/>
        <v>0.3774786976729983</v>
      </c>
      <c r="P14" s="163" t="s">
        <v>115</v>
      </c>
      <c r="Q14" s="164">
        <v>789</v>
      </c>
      <c r="R14" s="164">
        <v>4796</v>
      </c>
      <c r="S14" s="164">
        <v>6703</v>
      </c>
      <c r="T14" s="164">
        <v>6665</v>
      </c>
      <c r="U14" s="164">
        <v>6109</v>
      </c>
      <c r="V14" s="164">
        <v>5857</v>
      </c>
      <c r="W14" s="179">
        <f t="shared" ref="W14:W21" si="7">IFERROR(V14/U14-1,"-")</f>
        <v>-4.1250613848420326E-2</v>
      </c>
      <c r="X14" s="163">
        <f t="shared" si="5"/>
        <v>-252</v>
      </c>
      <c r="Y14" s="165">
        <f t="shared" si="1"/>
        <v>3.4752012911111504E-2</v>
      </c>
    </row>
    <row r="15" spans="1:25" x14ac:dyDescent="0.25">
      <c r="A15" s="1"/>
      <c r="B15" s="163" t="s">
        <v>118</v>
      </c>
      <c r="C15" s="164">
        <v>55842</v>
      </c>
      <c r="D15" s="164">
        <v>210882</v>
      </c>
      <c r="E15" s="164">
        <v>244797</v>
      </c>
      <c r="F15" s="164">
        <v>257348</v>
      </c>
      <c r="G15" s="164">
        <v>250877</v>
      </c>
      <c r="H15" s="164">
        <v>235538</v>
      </c>
      <c r="I15" s="179">
        <f t="shared" si="6"/>
        <v>-6.1141515563403526E-2</v>
      </c>
      <c r="J15" s="165">
        <f t="shared" si="2"/>
        <v>0.11691846625126856</v>
      </c>
      <c r="K15" s="164">
        <f t="shared" si="3"/>
        <v>-15339</v>
      </c>
      <c r="L15" s="164">
        <f t="shared" si="4"/>
        <v>24656</v>
      </c>
      <c r="M15" s="165">
        <f t="shared" si="0"/>
        <v>7.4921718640060975E-2</v>
      </c>
      <c r="P15" s="163" t="s">
        <v>118</v>
      </c>
      <c r="Q15" s="164">
        <v>2583</v>
      </c>
      <c r="R15" s="164">
        <v>5107</v>
      </c>
      <c r="S15" s="164">
        <v>8112</v>
      </c>
      <c r="T15" s="164">
        <v>7676</v>
      </c>
      <c r="U15" s="164">
        <v>8533</v>
      </c>
      <c r="V15" s="164">
        <v>9137</v>
      </c>
      <c r="W15" s="179">
        <f t="shared" si="7"/>
        <v>7.0784015000586065E-2</v>
      </c>
      <c r="X15" s="163">
        <f t="shared" si="5"/>
        <v>604</v>
      </c>
      <c r="Y15" s="165">
        <f t="shared" si="1"/>
        <v>5.4213614814551107E-2</v>
      </c>
    </row>
    <row r="16" spans="1:25" x14ac:dyDescent="0.25">
      <c r="A16" s="1"/>
      <c r="B16" s="163" t="s">
        <v>121</v>
      </c>
      <c r="C16" s="164">
        <v>55737</v>
      </c>
      <c r="D16" s="164">
        <v>110427</v>
      </c>
      <c r="E16" s="164">
        <v>125072</v>
      </c>
      <c r="F16" s="164">
        <v>136103</v>
      </c>
      <c r="G16" s="164">
        <v>130202</v>
      </c>
      <c r="H16" s="164">
        <v>135793</v>
      </c>
      <c r="I16" s="179">
        <f t="shared" si="6"/>
        <v>4.2940968648714994E-2</v>
      </c>
      <c r="J16" s="165">
        <f t="shared" si="2"/>
        <v>0.22970831408985126</v>
      </c>
      <c r="K16" s="164">
        <f t="shared" si="3"/>
        <v>5591</v>
      </c>
      <c r="L16" s="164">
        <f t="shared" si="4"/>
        <v>25366</v>
      </c>
      <c r="M16" s="165">
        <f t="shared" si="0"/>
        <v>4.3194070338076235E-2</v>
      </c>
      <c r="P16" s="163" t="s">
        <v>121</v>
      </c>
      <c r="Q16" s="164">
        <v>3475</v>
      </c>
      <c r="R16" s="164">
        <v>4441</v>
      </c>
      <c r="S16" s="164">
        <v>4979</v>
      </c>
      <c r="T16" s="164">
        <v>4602</v>
      </c>
      <c r="U16" s="164">
        <v>5028</v>
      </c>
      <c r="V16" s="164">
        <v>5094</v>
      </c>
      <c r="W16" s="179">
        <f t="shared" si="7"/>
        <v>1.3126491646778149E-2</v>
      </c>
      <c r="X16" s="163">
        <f t="shared" si="5"/>
        <v>66</v>
      </c>
      <c r="Y16" s="165">
        <f t="shared" si="1"/>
        <v>3.0224817102476015E-2</v>
      </c>
    </row>
    <row r="17" spans="1:25" x14ac:dyDescent="0.25">
      <c r="A17" s="1"/>
      <c r="B17" s="163" t="s">
        <v>128</v>
      </c>
      <c r="C17" s="164">
        <v>17525</v>
      </c>
      <c r="D17" s="164">
        <v>102529</v>
      </c>
      <c r="E17" s="164">
        <v>91082</v>
      </c>
      <c r="F17" s="164">
        <v>100519</v>
      </c>
      <c r="G17" s="164">
        <v>92428</v>
      </c>
      <c r="H17" s="164">
        <v>94333</v>
      </c>
      <c r="I17" s="179">
        <f t="shared" si="6"/>
        <v>2.0610637469165249E-2</v>
      </c>
      <c r="J17" s="165">
        <f t="shared" si="2"/>
        <v>-7.9938358903334672E-2</v>
      </c>
      <c r="K17" s="164">
        <f t="shared" si="3"/>
        <v>1905</v>
      </c>
      <c r="L17" s="164">
        <f t="shared" si="4"/>
        <v>-8196</v>
      </c>
      <c r="M17" s="165">
        <f t="shared" si="0"/>
        <v>3.0006158176060217E-2</v>
      </c>
      <c r="P17" s="163" t="s">
        <v>128</v>
      </c>
      <c r="Q17" s="164">
        <v>444</v>
      </c>
      <c r="R17" s="164">
        <v>1275</v>
      </c>
      <c r="S17" s="164">
        <v>1516</v>
      </c>
      <c r="T17" s="164">
        <v>1395</v>
      </c>
      <c r="U17" s="164">
        <v>1505</v>
      </c>
      <c r="V17" s="164">
        <v>1751</v>
      </c>
      <c r="W17" s="179">
        <f t="shared" si="7"/>
        <v>0.16345514950166118</v>
      </c>
      <c r="X17" s="163">
        <f t="shared" si="5"/>
        <v>246</v>
      </c>
      <c r="Y17" s="165">
        <f t="shared" si="1"/>
        <v>1.0389410040525226E-2</v>
      </c>
    </row>
    <row r="18" spans="1:25" x14ac:dyDescent="0.25">
      <c r="A18" s="1"/>
      <c r="B18" s="163" t="s">
        <v>124</v>
      </c>
      <c r="C18" s="164">
        <v>22207</v>
      </c>
      <c r="D18" s="164">
        <v>85314</v>
      </c>
      <c r="E18" s="164">
        <v>85536</v>
      </c>
      <c r="F18" s="164">
        <v>91506</v>
      </c>
      <c r="G18" s="164">
        <v>82509</v>
      </c>
      <c r="H18" s="164">
        <v>85325</v>
      </c>
      <c r="I18" s="179">
        <f t="shared" si="6"/>
        <v>3.4129610103140307E-2</v>
      </c>
      <c r="J18" s="165">
        <f t="shared" si="2"/>
        <v>1.289354619407046E-4</v>
      </c>
      <c r="K18" s="164">
        <f t="shared" si="3"/>
        <v>2816</v>
      </c>
      <c r="L18" s="164">
        <f t="shared" si="4"/>
        <v>11</v>
      </c>
      <c r="M18" s="165">
        <f t="shared" si="0"/>
        <v>2.7140825017463011E-2</v>
      </c>
      <c r="P18" s="163" t="s">
        <v>124</v>
      </c>
      <c r="Q18" s="164">
        <v>388</v>
      </c>
      <c r="R18" s="164">
        <v>986</v>
      </c>
      <c r="S18" s="164">
        <v>1076</v>
      </c>
      <c r="T18" s="164">
        <v>1142</v>
      </c>
      <c r="U18" s="164">
        <v>1313</v>
      </c>
      <c r="V18" s="164">
        <v>1338</v>
      </c>
      <c r="W18" s="179">
        <f t="shared" si="7"/>
        <v>1.9040365575019091E-2</v>
      </c>
      <c r="X18" s="163">
        <f t="shared" si="5"/>
        <v>25</v>
      </c>
      <c r="Y18" s="165">
        <f t="shared" si="1"/>
        <v>7.9389095569518866E-3</v>
      </c>
    </row>
    <row r="19" spans="1:25" x14ac:dyDescent="0.25">
      <c r="A19" s="162" t="s">
        <v>149</v>
      </c>
      <c r="B19" s="163" t="s">
        <v>133</v>
      </c>
      <c r="C19" s="164">
        <v>2074</v>
      </c>
      <c r="D19" s="164">
        <v>35056</v>
      </c>
      <c r="E19" s="164">
        <v>43811</v>
      </c>
      <c r="F19" s="164">
        <v>39594</v>
      </c>
      <c r="G19" s="164">
        <v>38668</v>
      </c>
      <c r="H19" s="164">
        <v>34121</v>
      </c>
      <c r="I19" s="179">
        <f t="shared" si="6"/>
        <v>-0.11759077273197471</v>
      </c>
      <c r="J19" s="165">
        <f t="shared" si="2"/>
        <v>-2.6671611136467321E-2</v>
      </c>
      <c r="K19" s="164">
        <f t="shared" si="3"/>
        <v>-4547</v>
      </c>
      <c r="L19" s="164">
        <f t="shared" si="4"/>
        <v>-935</v>
      </c>
      <c r="M19" s="165">
        <f t="shared" si="0"/>
        <v>1.0853467218527459E-2</v>
      </c>
      <c r="P19" s="163" t="s">
        <v>133</v>
      </c>
      <c r="Q19" s="164">
        <v>61</v>
      </c>
      <c r="R19" s="164">
        <v>602</v>
      </c>
      <c r="S19" s="164">
        <v>801</v>
      </c>
      <c r="T19" s="164">
        <v>904</v>
      </c>
      <c r="U19" s="164">
        <v>707</v>
      </c>
      <c r="V19" s="164">
        <v>527</v>
      </c>
      <c r="W19" s="179">
        <f t="shared" si="7"/>
        <v>-0.25459688826025462</v>
      </c>
      <c r="X19" s="163">
        <f t="shared" si="5"/>
        <v>-180</v>
      </c>
      <c r="Y19" s="165">
        <f t="shared" si="1"/>
        <v>3.1269098180221554E-3</v>
      </c>
    </row>
    <row r="20" spans="1:25" x14ac:dyDescent="0.25">
      <c r="A20" s="167" t="s">
        <v>150</v>
      </c>
      <c r="B20" s="163" t="s">
        <v>136</v>
      </c>
      <c r="C20" s="164">
        <v>2811</v>
      </c>
      <c r="D20" s="164">
        <v>26721</v>
      </c>
      <c r="E20" s="164">
        <v>39617</v>
      </c>
      <c r="F20" s="164">
        <v>41105</v>
      </c>
      <c r="G20" s="164">
        <v>32778</v>
      </c>
      <c r="H20" s="164">
        <v>33408</v>
      </c>
      <c r="I20" s="179">
        <f t="shared" si="6"/>
        <v>1.9220208676551387E-2</v>
      </c>
      <c r="J20" s="165">
        <f t="shared" si="2"/>
        <v>0.25025261030650059</v>
      </c>
      <c r="K20" s="164">
        <f t="shared" si="3"/>
        <v>630</v>
      </c>
      <c r="L20" s="164">
        <f t="shared" si="4"/>
        <v>6687</v>
      </c>
      <c r="M20" s="165">
        <f t="shared" si="0"/>
        <v>1.06266707551527E-2</v>
      </c>
      <c r="P20" s="163" t="s">
        <v>136</v>
      </c>
      <c r="Q20" s="164">
        <v>166</v>
      </c>
      <c r="R20" s="164">
        <v>1056</v>
      </c>
      <c r="S20" s="164">
        <v>1493</v>
      </c>
      <c r="T20" s="164">
        <v>1374</v>
      </c>
      <c r="U20" s="164">
        <v>1418</v>
      </c>
      <c r="V20" s="164">
        <v>1273</v>
      </c>
      <c r="W20" s="179">
        <f t="shared" si="7"/>
        <v>-0.10225669957686878</v>
      </c>
      <c r="X20" s="163">
        <f t="shared" si="5"/>
        <v>-145</v>
      </c>
      <c r="Y20" s="165">
        <f t="shared" si="1"/>
        <v>7.5532375680117721E-3</v>
      </c>
    </row>
    <row r="21" spans="1:25" x14ac:dyDescent="0.25">
      <c r="B21" s="168" t="s">
        <v>150</v>
      </c>
      <c r="C21" s="169">
        <f t="shared" ref="C21:H21" si="8">C13-SUM(C14:C20)</f>
        <v>173479</v>
      </c>
      <c r="D21" s="169">
        <f t="shared" si="8"/>
        <v>562241</v>
      </c>
      <c r="E21" s="169">
        <f t="shared" si="8"/>
        <v>641522</v>
      </c>
      <c r="F21" s="169">
        <f t="shared" si="8"/>
        <v>702388</v>
      </c>
      <c r="G21" s="169">
        <f t="shared" si="8"/>
        <v>720406</v>
      </c>
      <c r="H21" s="169">
        <f t="shared" si="8"/>
        <v>705156</v>
      </c>
      <c r="I21" s="180">
        <f t="shared" si="6"/>
        <v>-2.1168618806617356E-2</v>
      </c>
      <c r="J21" s="170">
        <f t="shared" si="2"/>
        <v>0.25418815063291356</v>
      </c>
      <c r="K21" s="169">
        <f>H21-G21</f>
        <v>-15250</v>
      </c>
      <c r="L21" s="169">
        <f t="shared" si="4"/>
        <v>142915</v>
      </c>
      <c r="M21" s="170">
        <f t="shared" si="0"/>
        <v>0.22430138419002807</v>
      </c>
      <c r="P21" s="168" t="s">
        <v>150</v>
      </c>
      <c r="Q21" s="169">
        <f t="shared" ref="Q21:V21" si="9">Q13-SUM(Q14:Q20)</f>
        <v>16713</v>
      </c>
      <c r="R21" s="169">
        <f t="shared" si="9"/>
        <v>28740</v>
      </c>
      <c r="S21" s="169">
        <f t="shared" si="9"/>
        <v>30665</v>
      </c>
      <c r="T21" s="169">
        <f t="shared" si="9"/>
        <v>31164</v>
      </c>
      <c r="U21" s="169">
        <f t="shared" si="9"/>
        <v>34387</v>
      </c>
      <c r="V21" s="169">
        <f t="shared" si="9"/>
        <v>37617</v>
      </c>
      <c r="W21" s="180">
        <f t="shared" si="7"/>
        <v>9.3930845959228737E-2</v>
      </c>
      <c r="X21" s="168">
        <f>V21-U21</f>
        <v>3230</v>
      </c>
      <c r="Y21" s="170">
        <f t="shared" si="1"/>
        <v>0.2231972801224657</v>
      </c>
    </row>
    <row r="22" spans="1:25" x14ac:dyDescent="0.25">
      <c r="B22" s="155" t="s">
        <v>46</v>
      </c>
      <c r="C22" s="153"/>
      <c r="D22" s="153"/>
      <c r="E22" s="153"/>
      <c r="F22" s="153"/>
      <c r="G22" s="153"/>
      <c r="H22" s="153"/>
      <c r="I22" s="154"/>
      <c r="J22" s="154"/>
      <c r="K22" s="154"/>
      <c r="L22" s="153"/>
      <c r="M22" s="153"/>
    </row>
    <row r="23" spans="1:25" x14ac:dyDescent="0.25">
      <c r="B23" s="156" t="s">
        <v>73</v>
      </c>
      <c r="C23" s="176">
        <v>281997</v>
      </c>
      <c r="D23" s="176">
        <v>993053</v>
      </c>
      <c r="E23" s="176">
        <v>1080435</v>
      </c>
      <c r="F23" s="176">
        <v>1125743</v>
      </c>
      <c r="G23" s="176">
        <v>1073331</v>
      </c>
      <c r="H23" s="176">
        <v>1077606</v>
      </c>
      <c r="I23" s="177">
        <f>IFERROR(H23/G23-1,"-")</f>
        <v>3.9829279131973205E-3</v>
      </c>
      <c r="J23" s="177">
        <f>IFERROR(H23/D23-1,"-")</f>
        <v>8.5144498833395588E-2</v>
      </c>
      <c r="K23" s="176">
        <f>H23-G23</f>
        <v>4275</v>
      </c>
      <c r="L23" s="176">
        <f>H23-D23</f>
        <v>84553</v>
      </c>
      <c r="M23" s="177">
        <f t="shared" ref="M23:M35" si="10">H23/H$9</f>
        <v>0.34277311319974502</v>
      </c>
    </row>
    <row r="24" spans="1:25" x14ac:dyDescent="0.25">
      <c r="B24" s="159" t="s">
        <v>102</v>
      </c>
      <c r="C24" s="160">
        <v>137416</v>
      </c>
      <c r="D24" s="160">
        <v>118869</v>
      </c>
      <c r="E24" s="160">
        <v>104061</v>
      </c>
      <c r="F24" s="160">
        <v>88871</v>
      </c>
      <c r="G24" s="160">
        <v>80164</v>
      </c>
      <c r="H24" s="160">
        <v>85765</v>
      </c>
      <c r="I24" s="178">
        <f>IFERROR(H24/G24-1,"-")</f>
        <v>6.9869268000598783E-2</v>
      </c>
      <c r="J24" s="161">
        <f t="shared" ref="J24:J35" si="11">IFERROR(H24/D24-1,"-")</f>
        <v>-0.27849144856943353</v>
      </c>
      <c r="K24" s="160">
        <f t="shared" ref="K24:K34" si="12">H24-G24</f>
        <v>5601</v>
      </c>
      <c r="L24" s="160">
        <f t="shared" ref="L24:L35" si="13">H24-D24</f>
        <v>-33104</v>
      </c>
      <c r="M24" s="161">
        <f t="shared" si="10"/>
        <v>2.7280783564286142E-2</v>
      </c>
    </row>
    <row r="25" spans="1:25" x14ac:dyDescent="0.25">
      <c r="B25" s="163" t="s">
        <v>108</v>
      </c>
      <c r="C25" s="164">
        <v>79916</v>
      </c>
      <c r="D25" s="164">
        <v>52433</v>
      </c>
      <c r="E25" s="164">
        <v>44217</v>
      </c>
      <c r="F25" s="164">
        <v>34334</v>
      </c>
      <c r="G25" s="164">
        <v>35688</v>
      </c>
      <c r="H25" s="164">
        <v>39706</v>
      </c>
      <c r="I25" s="179">
        <f>IFERROR(H25/G25-1,"-")</f>
        <v>0.11258686393185391</v>
      </c>
      <c r="J25" s="165">
        <f t="shared" si="11"/>
        <v>-0.24272881582209682</v>
      </c>
      <c r="K25" s="164">
        <f t="shared" si="12"/>
        <v>4018</v>
      </c>
      <c r="L25" s="164">
        <f t="shared" si="13"/>
        <v>-12727</v>
      </c>
      <c r="M25" s="165">
        <f t="shared" si="10"/>
        <v>1.2629986500361984E-2</v>
      </c>
    </row>
    <row r="26" spans="1:25" x14ac:dyDescent="0.25">
      <c r="B26" s="163" t="s">
        <v>105</v>
      </c>
      <c r="C26" s="164">
        <v>57500</v>
      </c>
      <c r="D26" s="164">
        <v>66436</v>
      </c>
      <c r="E26" s="164">
        <v>59844</v>
      </c>
      <c r="F26" s="164">
        <v>54537</v>
      </c>
      <c r="G26" s="164">
        <v>44476</v>
      </c>
      <c r="H26" s="164">
        <v>46059</v>
      </c>
      <c r="I26" s="179">
        <f>IFERROR(H26/G26-1,"-")</f>
        <v>3.5592229517042995E-2</v>
      </c>
      <c r="J26" s="165">
        <f t="shared" si="11"/>
        <v>-0.30671623818411708</v>
      </c>
      <c r="K26" s="164">
        <f t="shared" si="12"/>
        <v>1583</v>
      </c>
      <c r="L26" s="164">
        <f t="shared" si="13"/>
        <v>-20377</v>
      </c>
      <c r="M26" s="165">
        <f t="shared" si="10"/>
        <v>1.4650797063924158E-2</v>
      </c>
    </row>
    <row r="27" spans="1:25" x14ac:dyDescent="0.25">
      <c r="B27" s="159" t="s">
        <v>112</v>
      </c>
      <c r="C27" s="160">
        <v>144581</v>
      </c>
      <c r="D27" s="160">
        <v>874184</v>
      </c>
      <c r="E27" s="160">
        <v>976374</v>
      </c>
      <c r="F27" s="160">
        <v>1036872</v>
      </c>
      <c r="G27" s="160">
        <v>993167</v>
      </c>
      <c r="H27" s="160">
        <v>991841</v>
      </c>
      <c r="I27" s="178">
        <f>IFERROR(H27/G27-1,"-")</f>
        <v>-1.3351228947398042E-3</v>
      </c>
      <c r="J27" s="161">
        <f t="shared" si="11"/>
        <v>0.13459065825958838</v>
      </c>
      <c r="K27" s="160">
        <f t="shared" si="12"/>
        <v>-1326</v>
      </c>
      <c r="L27" s="160">
        <f t="shared" si="13"/>
        <v>117657</v>
      </c>
      <c r="M27" s="161">
        <f t="shared" si="10"/>
        <v>0.31549232963545887</v>
      </c>
    </row>
    <row r="28" spans="1:25" x14ac:dyDescent="0.25">
      <c r="B28" s="163" t="s">
        <v>115</v>
      </c>
      <c r="C28" s="164">
        <v>14861</v>
      </c>
      <c r="D28" s="164">
        <v>434524</v>
      </c>
      <c r="E28" s="164">
        <v>498486</v>
      </c>
      <c r="F28" s="164">
        <v>537673</v>
      </c>
      <c r="G28" s="164">
        <v>522860</v>
      </c>
      <c r="H28" s="164">
        <v>520202</v>
      </c>
      <c r="I28" s="179">
        <f t="shared" ref="I28:I35" si="14">IFERROR(H28/G28-1,"-")</f>
        <v>-5.0835787782580466E-3</v>
      </c>
      <c r="J28" s="165">
        <f t="shared" si="11"/>
        <v>0.1971766806896742</v>
      </c>
      <c r="K28" s="164">
        <f t="shared" si="12"/>
        <v>-2658</v>
      </c>
      <c r="L28" s="164">
        <f t="shared" si="13"/>
        <v>85678</v>
      </c>
      <c r="M28" s="165">
        <f t="shared" si="10"/>
        <v>0.1654698090329246</v>
      </c>
    </row>
    <row r="29" spans="1:25" x14ac:dyDescent="0.25">
      <c r="B29" s="163" t="s">
        <v>118</v>
      </c>
      <c r="C29" s="164">
        <v>26204</v>
      </c>
      <c r="D29" s="164">
        <v>93699</v>
      </c>
      <c r="E29" s="164">
        <v>103786</v>
      </c>
      <c r="F29" s="164">
        <v>105308</v>
      </c>
      <c r="G29" s="164">
        <v>97861</v>
      </c>
      <c r="H29" s="164">
        <v>91434</v>
      </c>
      <c r="I29" s="179">
        <f t="shared" si="14"/>
        <v>-6.5674783621667454E-2</v>
      </c>
      <c r="J29" s="165">
        <f t="shared" si="11"/>
        <v>-2.4173150193705362E-2</v>
      </c>
      <c r="K29" s="164">
        <f t="shared" si="12"/>
        <v>-6427</v>
      </c>
      <c r="L29" s="164">
        <f t="shared" si="13"/>
        <v>-2265</v>
      </c>
      <c r="M29" s="165">
        <f t="shared" si="10"/>
        <v>2.908402220505963E-2</v>
      </c>
    </row>
    <row r="30" spans="1:25" x14ac:dyDescent="0.25">
      <c r="B30" s="163" t="s">
        <v>121</v>
      </c>
      <c r="C30" s="164">
        <v>19818</v>
      </c>
      <c r="D30" s="164">
        <v>36623</v>
      </c>
      <c r="E30" s="164">
        <v>38028</v>
      </c>
      <c r="F30" s="164">
        <v>36137</v>
      </c>
      <c r="G30" s="164">
        <v>30577</v>
      </c>
      <c r="H30" s="164">
        <v>35400</v>
      </c>
      <c r="I30" s="179">
        <f t="shared" si="14"/>
        <v>0.15773293652091436</v>
      </c>
      <c r="J30" s="165">
        <f t="shared" si="11"/>
        <v>-3.3394315047920675E-2</v>
      </c>
      <c r="K30" s="164">
        <f t="shared" si="12"/>
        <v>4823</v>
      </c>
      <c r="L30" s="164">
        <f t="shared" si="13"/>
        <v>-1223</v>
      </c>
      <c r="M30" s="165">
        <f t="shared" si="10"/>
        <v>1.1260301267133789E-2</v>
      </c>
    </row>
    <row r="31" spans="1:25" x14ac:dyDescent="0.25">
      <c r="B31" s="163" t="s">
        <v>128</v>
      </c>
      <c r="C31" s="164">
        <v>7602</v>
      </c>
      <c r="D31" s="164">
        <v>47052</v>
      </c>
      <c r="E31" s="164">
        <v>40639</v>
      </c>
      <c r="F31" s="164">
        <v>42101</v>
      </c>
      <c r="G31" s="164">
        <v>38324</v>
      </c>
      <c r="H31" s="164">
        <v>41157</v>
      </c>
      <c r="I31" s="179">
        <f t="shared" si="14"/>
        <v>7.3922346310405951E-2</v>
      </c>
      <c r="J31" s="165">
        <f t="shared" si="11"/>
        <v>-0.12528691660290747</v>
      </c>
      <c r="K31" s="164">
        <f t="shared" si="12"/>
        <v>2833</v>
      </c>
      <c r="L31" s="164">
        <f t="shared" si="13"/>
        <v>-5895</v>
      </c>
      <c r="M31" s="165">
        <f t="shared" si="10"/>
        <v>1.3091531617271902E-2</v>
      </c>
    </row>
    <row r="32" spans="1:25" x14ac:dyDescent="0.25">
      <c r="B32" s="163" t="s">
        <v>124</v>
      </c>
      <c r="C32" s="164">
        <v>12667</v>
      </c>
      <c r="D32" s="164">
        <v>49550</v>
      </c>
      <c r="E32" s="164">
        <v>46045</v>
      </c>
      <c r="F32" s="164">
        <v>47428</v>
      </c>
      <c r="G32" s="164">
        <v>44097</v>
      </c>
      <c r="H32" s="164">
        <v>46470</v>
      </c>
      <c r="I32" s="179">
        <f t="shared" si="14"/>
        <v>5.3813184570378869E-2</v>
      </c>
      <c r="J32" s="165">
        <f t="shared" si="11"/>
        <v>-6.215943491422804E-2</v>
      </c>
      <c r="K32" s="164">
        <f t="shared" si="12"/>
        <v>2373</v>
      </c>
      <c r="L32" s="164">
        <f t="shared" si="13"/>
        <v>-3080</v>
      </c>
      <c r="M32" s="165">
        <f t="shared" si="10"/>
        <v>1.4781531070161219E-2</v>
      </c>
    </row>
    <row r="33" spans="2:13" x14ac:dyDescent="0.25">
      <c r="B33" s="163" t="s">
        <v>133</v>
      </c>
      <c r="C33" s="164">
        <v>365</v>
      </c>
      <c r="D33" s="164">
        <v>13621</v>
      </c>
      <c r="E33" s="164">
        <v>15743</v>
      </c>
      <c r="F33" s="164">
        <v>14924</v>
      </c>
      <c r="G33" s="164">
        <v>13733</v>
      </c>
      <c r="H33" s="164">
        <v>13750</v>
      </c>
      <c r="I33" s="179">
        <f t="shared" si="14"/>
        <v>1.2378941236437235E-3</v>
      </c>
      <c r="J33" s="165">
        <f t="shared" si="11"/>
        <v>9.470670288524996E-3</v>
      </c>
      <c r="K33" s="164">
        <f t="shared" si="12"/>
        <v>17</v>
      </c>
      <c r="L33" s="164">
        <f t="shared" si="13"/>
        <v>129</v>
      </c>
      <c r="M33" s="165">
        <f t="shared" si="10"/>
        <v>4.3737045882228697E-3</v>
      </c>
    </row>
    <row r="34" spans="2:13" x14ac:dyDescent="0.25">
      <c r="B34" s="163" t="s">
        <v>136</v>
      </c>
      <c r="C34" s="164">
        <v>415</v>
      </c>
      <c r="D34" s="164">
        <v>8187</v>
      </c>
      <c r="E34" s="164">
        <v>14050</v>
      </c>
      <c r="F34" s="164">
        <v>13597</v>
      </c>
      <c r="G34" s="164">
        <v>10998</v>
      </c>
      <c r="H34" s="164">
        <v>11305</v>
      </c>
      <c r="I34" s="179">
        <f t="shared" si="14"/>
        <v>2.7914166212038571E-2</v>
      </c>
      <c r="J34" s="165">
        <f t="shared" si="11"/>
        <v>0.38084768535483082</v>
      </c>
      <c r="K34" s="164">
        <f t="shared" si="12"/>
        <v>307</v>
      </c>
      <c r="L34" s="164">
        <f t="shared" si="13"/>
        <v>3118</v>
      </c>
      <c r="M34" s="165">
        <f t="shared" si="10"/>
        <v>3.5959803905352395E-3</v>
      </c>
    </row>
    <row r="35" spans="2:13" x14ac:dyDescent="0.25">
      <c r="B35" s="168" t="s">
        <v>150</v>
      </c>
      <c r="C35" s="169">
        <f t="shared" ref="C35:H35" si="15">C27-SUM(C28:C34)</f>
        <v>62649</v>
      </c>
      <c r="D35" s="169">
        <f t="shared" si="15"/>
        <v>190928</v>
      </c>
      <c r="E35" s="169">
        <f t="shared" si="15"/>
        <v>219597</v>
      </c>
      <c r="F35" s="169">
        <f t="shared" si="15"/>
        <v>239704</v>
      </c>
      <c r="G35" s="169">
        <f t="shared" si="15"/>
        <v>234717</v>
      </c>
      <c r="H35" s="169">
        <f t="shared" si="15"/>
        <v>232123</v>
      </c>
      <c r="I35" s="180">
        <f t="shared" si="14"/>
        <v>-1.1051606828648919E-2</v>
      </c>
      <c r="J35" s="170">
        <f t="shared" si="11"/>
        <v>0.2157619626246543</v>
      </c>
      <c r="K35" s="169">
        <f>H35-G35</f>
        <v>-2594</v>
      </c>
      <c r="L35" s="169">
        <f t="shared" si="13"/>
        <v>41195</v>
      </c>
      <c r="M35" s="170">
        <f t="shared" si="10"/>
        <v>7.3835449464149619E-2</v>
      </c>
    </row>
    <row r="36" spans="2:13" x14ac:dyDescent="0.25">
      <c r="B36" s="155" t="s">
        <v>47</v>
      </c>
      <c r="C36" s="153"/>
      <c r="D36" s="153"/>
      <c r="E36" s="153"/>
      <c r="F36" s="153"/>
      <c r="G36" s="153"/>
      <c r="H36" s="153"/>
      <c r="I36" s="154"/>
      <c r="J36" s="154"/>
      <c r="K36" s="154"/>
      <c r="L36" s="153"/>
      <c r="M36" s="153"/>
    </row>
    <row r="37" spans="2:13" x14ac:dyDescent="0.25">
      <c r="B37" s="156" t="s">
        <v>73</v>
      </c>
      <c r="C37" s="176">
        <v>123433</v>
      </c>
      <c r="D37" s="176">
        <v>692851</v>
      </c>
      <c r="E37" s="176">
        <v>751128</v>
      </c>
      <c r="F37" s="176">
        <v>796018</v>
      </c>
      <c r="G37" s="176">
        <v>822258</v>
      </c>
      <c r="H37" s="176">
        <v>844127</v>
      </c>
      <c r="I37" s="177">
        <f>IFERROR(H37/G37-1,"-")</f>
        <v>2.6596275135055025E-2</v>
      </c>
      <c r="J37" s="177">
        <f>IFERROR(H37/D37-1,"-")</f>
        <v>0.21833843062938496</v>
      </c>
      <c r="K37" s="176">
        <f>H37-G37</f>
        <v>21869</v>
      </c>
      <c r="L37" s="176">
        <f>H37-D37</f>
        <v>151276</v>
      </c>
      <c r="M37" s="177">
        <f t="shared" ref="M37:M49" si="16">H37/H$9</f>
        <v>0.268506336941295</v>
      </c>
    </row>
    <row r="38" spans="2:13" x14ac:dyDescent="0.25">
      <c r="B38" s="159" t="s">
        <v>102</v>
      </c>
      <c r="C38" s="160">
        <v>41134</v>
      </c>
      <c r="D38" s="160">
        <v>69906</v>
      </c>
      <c r="E38" s="160">
        <v>64223</v>
      </c>
      <c r="F38" s="160">
        <v>61123</v>
      </c>
      <c r="G38" s="160">
        <v>63405</v>
      </c>
      <c r="H38" s="160">
        <v>77740</v>
      </c>
      <c r="I38" s="178">
        <f>IFERROR(H38/G38-1,"-")</f>
        <v>0.22608627079883292</v>
      </c>
      <c r="J38" s="161">
        <f t="shared" ref="J38:J49" si="17">IFERROR(H38/D38-1,"-")</f>
        <v>0.11206477269476145</v>
      </c>
      <c r="K38" s="160">
        <f t="shared" ref="K38:K48" si="18">H38-G38</f>
        <v>14335</v>
      </c>
      <c r="L38" s="160">
        <f t="shared" ref="L38:L49" si="19">H38-D38</f>
        <v>7834</v>
      </c>
      <c r="M38" s="161">
        <f t="shared" si="16"/>
        <v>2.4728130522796068E-2</v>
      </c>
    </row>
    <row r="39" spans="2:13" x14ac:dyDescent="0.25">
      <c r="B39" s="163" t="s">
        <v>108</v>
      </c>
      <c r="C39" s="164">
        <v>28769</v>
      </c>
      <c r="D39" s="164">
        <v>29124</v>
      </c>
      <c r="E39" s="164">
        <v>27631</v>
      </c>
      <c r="F39" s="164">
        <v>26999</v>
      </c>
      <c r="G39" s="164">
        <v>26524</v>
      </c>
      <c r="H39" s="164">
        <v>38161</v>
      </c>
      <c r="I39" s="179">
        <f>IFERROR(H39/G39-1,"-")</f>
        <v>0.43873473080983261</v>
      </c>
      <c r="J39" s="165">
        <f t="shared" si="17"/>
        <v>0.31029391567092435</v>
      </c>
      <c r="K39" s="164">
        <f t="shared" si="18"/>
        <v>11637</v>
      </c>
      <c r="L39" s="164">
        <f t="shared" si="19"/>
        <v>9037</v>
      </c>
      <c r="M39" s="165">
        <f t="shared" si="16"/>
        <v>1.2138541148448942E-2</v>
      </c>
    </row>
    <row r="40" spans="2:13" x14ac:dyDescent="0.25">
      <c r="B40" s="163" t="s">
        <v>105</v>
      </c>
      <c r="C40" s="164">
        <v>12365</v>
      </c>
      <c r="D40" s="164">
        <v>40782</v>
      </c>
      <c r="E40" s="164">
        <v>36592</v>
      </c>
      <c r="F40" s="164">
        <v>34124</v>
      </c>
      <c r="G40" s="164">
        <v>36881</v>
      </c>
      <c r="H40" s="164">
        <v>39579</v>
      </c>
      <c r="I40" s="179">
        <f>IFERROR(H40/G40-1,"-")</f>
        <v>7.315419863886552E-2</v>
      </c>
      <c r="J40" s="165">
        <f t="shared" si="17"/>
        <v>-2.9498308077092861E-2</v>
      </c>
      <c r="K40" s="164">
        <f t="shared" si="18"/>
        <v>2698</v>
      </c>
      <c r="L40" s="164">
        <f t="shared" si="19"/>
        <v>-1203</v>
      </c>
      <c r="M40" s="165">
        <f t="shared" si="16"/>
        <v>1.2589589374347124E-2</v>
      </c>
    </row>
    <row r="41" spans="2:13" x14ac:dyDescent="0.25">
      <c r="B41" s="159" t="s">
        <v>112</v>
      </c>
      <c r="C41" s="160">
        <v>82299</v>
      </c>
      <c r="D41" s="160">
        <v>622945</v>
      </c>
      <c r="E41" s="160">
        <v>686905</v>
      </c>
      <c r="F41" s="160">
        <v>734895</v>
      </c>
      <c r="G41" s="160">
        <v>758853</v>
      </c>
      <c r="H41" s="160">
        <v>766387</v>
      </c>
      <c r="I41" s="178">
        <f>IFERROR(H41/G41-1,"-")</f>
        <v>9.9281415504715032E-3</v>
      </c>
      <c r="J41" s="161">
        <f t="shared" si="17"/>
        <v>0.23026430904815043</v>
      </c>
      <c r="K41" s="160">
        <f t="shared" si="18"/>
        <v>7534</v>
      </c>
      <c r="L41" s="160">
        <f t="shared" si="19"/>
        <v>143442</v>
      </c>
      <c r="M41" s="161">
        <f t="shared" si="16"/>
        <v>0.24377820641849895</v>
      </c>
    </row>
    <row r="42" spans="2:13" x14ac:dyDescent="0.25">
      <c r="B42" s="163" t="s">
        <v>115</v>
      </c>
      <c r="C42" s="164">
        <v>7460</v>
      </c>
      <c r="D42" s="164">
        <v>317230</v>
      </c>
      <c r="E42" s="164">
        <v>359095</v>
      </c>
      <c r="F42" s="164">
        <v>393325</v>
      </c>
      <c r="G42" s="164">
        <v>401929</v>
      </c>
      <c r="H42" s="164">
        <v>407817</v>
      </c>
      <c r="I42" s="179">
        <f t="shared" ref="I42:I49" si="20">IFERROR(H42/G42-1,"-")</f>
        <v>1.4649353492780959E-2</v>
      </c>
      <c r="J42" s="165">
        <f t="shared" si="17"/>
        <v>0.28555622103836331</v>
      </c>
      <c r="K42" s="164">
        <f t="shared" si="18"/>
        <v>5888</v>
      </c>
      <c r="L42" s="164">
        <f t="shared" si="19"/>
        <v>90587</v>
      </c>
      <c r="M42" s="165">
        <f t="shared" si="16"/>
        <v>0.129721533385839</v>
      </c>
    </row>
    <row r="43" spans="2:13" x14ac:dyDescent="0.25">
      <c r="B43" s="163" t="s">
        <v>118</v>
      </c>
      <c r="C43" s="164">
        <v>5341</v>
      </c>
      <c r="D43" s="164">
        <v>21160</v>
      </c>
      <c r="E43" s="164">
        <v>25307</v>
      </c>
      <c r="F43" s="164">
        <v>24837</v>
      </c>
      <c r="G43" s="164">
        <v>27121</v>
      </c>
      <c r="H43" s="164">
        <v>28761</v>
      </c>
      <c r="I43" s="179">
        <f t="shared" si="20"/>
        <v>6.0469746690756221E-2</v>
      </c>
      <c r="J43" s="165">
        <f t="shared" si="17"/>
        <v>0.35921550094517962</v>
      </c>
      <c r="K43" s="164">
        <f t="shared" si="18"/>
        <v>1640</v>
      </c>
      <c r="L43" s="164">
        <f t="shared" si="19"/>
        <v>7601</v>
      </c>
      <c r="M43" s="165">
        <f t="shared" si="16"/>
        <v>9.1485176481365792E-3</v>
      </c>
    </row>
    <row r="44" spans="2:13" x14ac:dyDescent="0.25">
      <c r="B44" s="163" t="s">
        <v>121</v>
      </c>
      <c r="C44" s="164">
        <v>8908</v>
      </c>
      <c r="D44" s="164">
        <v>15136</v>
      </c>
      <c r="E44" s="164">
        <v>16920</v>
      </c>
      <c r="F44" s="164">
        <v>16916</v>
      </c>
      <c r="G44" s="164">
        <v>18100</v>
      </c>
      <c r="H44" s="164">
        <v>22596</v>
      </c>
      <c r="I44" s="179">
        <f t="shared" si="20"/>
        <v>0.24839779005524854</v>
      </c>
      <c r="J44" s="165">
        <f t="shared" si="17"/>
        <v>0.49286469344608874</v>
      </c>
      <c r="K44" s="164">
        <f t="shared" si="18"/>
        <v>4496</v>
      </c>
      <c r="L44" s="164">
        <f t="shared" si="19"/>
        <v>7460</v>
      </c>
      <c r="M44" s="165">
        <f t="shared" si="16"/>
        <v>7.1875075545806523E-3</v>
      </c>
    </row>
    <row r="45" spans="2:13" x14ac:dyDescent="0.25">
      <c r="B45" s="163" t="s">
        <v>128</v>
      </c>
      <c r="C45" s="164">
        <v>5935</v>
      </c>
      <c r="D45" s="164">
        <v>34591</v>
      </c>
      <c r="E45" s="164">
        <v>30076</v>
      </c>
      <c r="F45" s="164">
        <v>33155</v>
      </c>
      <c r="G45" s="164">
        <v>30264</v>
      </c>
      <c r="H45" s="164">
        <v>32224</v>
      </c>
      <c r="I45" s="179">
        <f t="shared" si="20"/>
        <v>6.4763415278879188E-2</v>
      </c>
      <c r="J45" s="165">
        <f t="shared" si="17"/>
        <v>-6.8428203868058146E-2</v>
      </c>
      <c r="K45" s="164">
        <f t="shared" si="18"/>
        <v>1960</v>
      </c>
      <c r="L45" s="164">
        <f t="shared" si="19"/>
        <v>-2367</v>
      </c>
      <c r="M45" s="165">
        <f t="shared" si="16"/>
        <v>1.025005502915591E-2</v>
      </c>
    </row>
    <row r="46" spans="2:13" x14ac:dyDescent="0.25">
      <c r="B46" s="163" t="s">
        <v>124</v>
      </c>
      <c r="C46" s="164">
        <v>4503</v>
      </c>
      <c r="D46" s="164">
        <v>21351</v>
      </c>
      <c r="E46" s="164">
        <v>24311</v>
      </c>
      <c r="F46" s="164">
        <v>26281</v>
      </c>
      <c r="G46" s="164">
        <v>22247</v>
      </c>
      <c r="H46" s="164">
        <v>23204</v>
      </c>
      <c r="I46" s="179">
        <f t="shared" si="20"/>
        <v>4.3017036004854514E-2</v>
      </c>
      <c r="J46" s="165">
        <f t="shared" si="17"/>
        <v>8.6787504098168711E-2</v>
      </c>
      <c r="K46" s="164">
        <f t="shared" si="18"/>
        <v>957</v>
      </c>
      <c r="L46" s="164">
        <f t="shared" si="19"/>
        <v>1853</v>
      </c>
      <c r="M46" s="165">
        <f t="shared" si="16"/>
        <v>7.3809048192817073E-3</v>
      </c>
    </row>
    <row r="47" spans="2:13" x14ac:dyDescent="0.25">
      <c r="B47" s="163" t="s">
        <v>133</v>
      </c>
      <c r="C47" s="164">
        <v>1207</v>
      </c>
      <c r="D47" s="164">
        <v>13129</v>
      </c>
      <c r="E47" s="164">
        <v>14937</v>
      </c>
      <c r="F47" s="164">
        <v>13612</v>
      </c>
      <c r="G47" s="164">
        <v>14028</v>
      </c>
      <c r="H47" s="164">
        <v>11458</v>
      </c>
      <c r="I47" s="179">
        <f t="shared" si="20"/>
        <v>-0.18320501853435989</v>
      </c>
      <c r="J47" s="165">
        <f t="shared" si="17"/>
        <v>-0.12727549699139307</v>
      </c>
      <c r="K47" s="164">
        <f t="shared" si="18"/>
        <v>-2570</v>
      </c>
      <c r="L47" s="164">
        <f t="shared" si="19"/>
        <v>-1671</v>
      </c>
      <c r="M47" s="165">
        <f t="shared" si="16"/>
        <v>3.6446477943169195E-3</v>
      </c>
    </row>
    <row r="48" spans="2:13" x14ac:dyDescent="0.25">
      <c r="B48" s="163" t="s">
        <v>136</v>
      </c>
      <c r="C48" s="164">
        <v>1582</v>
      </c>
      <c r="D48" s="164">
        <v>11528</v>
      </c>
      <c r="E48" s="164">
        <v>14453</v>
      </c>
      <c r="F48" s="164">
        <v>14891</v>
      </c>
      <c r="G48" s="164">
        <v>11628</v>
      </c>
      <c r="H48" s="164">
        <v>11866</v>
      </c>
      <c r="I48" s="179">
        <f t="shared" si="20"/>
        <v>2.0467836257309857E-2</v>
      </c>
      <c r="J48" s="165">
        <f t="shared" si="17"/>
        <v>2.9319916724496853E-2</v>
      </c>
      <c r="K48" s="164">
        <f t="shared" si="18"/>
        <v>238</v>
      </c>
      <c r="L48" s="164">
        <f t="shared" si="19"/>
        <v>338</v>
      </c>
      <c r="M48" s="165">
        <f t="shared" si="16"/>
        <v>3.7744275377347329E-3</v>
      </c>
    </row>
    <row r="49" spans="2:13" x14ac:dyDescent="0.25">
      <c r="B49" s="168" t="s">
        <v>150</v>
      </c>
      <c r="C49" s="169">
        <f t="shared" ref="C49:H49" si="21">C41-SUM(C42:C48)</f>
        <v>47363</v>
      </c>
      <c r="D49" s="169">
        <f t="shared" si="21"/>
        <v>188820</v>
      </c>
      <c r="E49" s="169">
        <f t="shared" si="21"/>
        <v>201806</v>
      </c>
      <c r="F49" s="169">
        <f t="shared" si="21"/>
        <v>211878</v>
      </c>
      <c r="G49" s="169">
        <f t="shared" si="21"/>
        <v>233536</v>
      </c>
      <c r="H49" s="169">
        <f t="shared" si="21"/>
        <v>228461</v>
      </c>
      <c r="I49" s="180">
        <f t="shared" si="20"/>
        <v>-2.1731124965744031E-2</v>
      </c>
      <c r="J49" s="170">
        <f t="shared" si="17"/>
        <v>0.20994068424954992</v>
      </c>
      <c r="K49" s="169">
        <f>H49-G49</f>
        <v>-5075</v>
      </c>
      <c r="L49" s="169">
        <f t="shared" si="19"/>
        <v>39641</v>
      </c>
      <c r="M49" s="170">
        <f t="shared" si="16"/>
        <v>7.2670612649453459E-2</v>
      </c>
    </row>
    <row r="50" spans="2:13" x14ac:dyDescent="0.25">
      <c r="B50" s="155" t="s">
        <v>48</v>
      </c>
      <c r="C50" s="153"/>
      <c r="D50" s="153"/>
      <c r="E50" s="153"/>
      <c r="F50" s="153"/>
      <c r="G50" s="153"/>
      <c r="H50" s="153"/>
      <c r="I50" s="154"/>
      <c r="J50" s="154"/>
      <c r="K50" s="154"/>
      <c r="L50" s="153"/>
      <c r="M50" s="153"/>
    </row>
    <row r="51" spans="2:13" x14ac:dyDescent="0.25">
      <c r="B51" s="156" t="s">
        <v>73</v>
      </c>
      <c r="C51" s="176">
        <v>6896</v>
      </c>
      <c r="D51" s="176">
        <v>19165</v>
      </c>
      <c r="E51" s="176">
        <v>30291</v>
      </c>
      <c r="F51" s="176">
        <v>27053</v>
      </c>
      <c r="G51" s="176">
        <v>24470</v>
      </c>
      <c r="H51" s="176">
        <v>29731</v>
      </c>
      <c r="I51" s="177">
        <f>IFERROR(H51/G51-1,"-")</f>
        <v>0.21499795668165089</v>
      </c>
      <c r="J51" s="177">
        <f>IFERROR(H51/D51-1,"-")</f>
        <v>0.55131750587007566</v>
      </c>
      <c r="K51" s="176">
        <f>H51-G51</f>
        <v>5261</v>
      </c>
      <c r="L51" s="176">
        <f>H51-D51</f>
        <v>10566</v>
      </c>
      <c r="M51" s="177">
        <f t="shared" ref="M51:M63" si="22">H51/H$9</f>
        <v>9.4570626263603009E-3</v>
      </c>
    </row>
    <row r="52" spans="2:13" x14ac:dyDescent="0.25">
      <c r="B52" s="159" t="s">
        <v>102</v>
      </c>
      <c r="C52" s="160">
        <v>2321</v>
      </c>
      <c r="D52" s="160">
        <v>2543</v>
      </c>
      <c r="E52" s="160">
        <v>13442</v>
      </c>
      <c r="F52" s="160">
        <v>8146</v>
      </c>
      <c r="G52" s="160">
        <v>4833</v>
      </c>
      <c r="H52" s="160">
        <v>10017</v>
      </c>
      <c r="I52" s="178">
        <f>IFERROR(H52/G52-1,"-")</f>
        <v>1.0726256983240225</v>
      </c>
      <c r="J52" s="161">
        <f t="shared" ref="J52:J63" si="23">IFERROR(H52/D52-1,"-")</f>
        <v>2.9390483680692094</v>
      </c>
      <c r="K52" s="160">
        <f t="shared" ref="K52:K62" si="24">H52-G52</f>
        <v>5184</v>
      </c>
      <c r="L52" s="160">
        <f t="shared" ref="L52:L63" si="25">H52-D52</f>
        <v>7474</v>
      </c>
      <c r="M52" s="161">
        <f t="shared" si="22"/>
        <v>3.1862835534711628E-3</v>
      </c>
    </row>
    <row r="53" spans="2:13" x14ac:dyDescent="0.25">
      <c r="B53" s="163" t="s">
        <v>108</v>
      </c>
      <c r="C53" s="164">
        <v>1161</v>
      </c>
      <c r="D53" s="164">
        <v>1046</v>
      </c>
      <c r="E53" s="164">
        <v>10053</v>
      </c>
      <c r="F53" s="164">
        <v>5394</v>
      </c>
      <c r="G53" s="164">
        <v>2885</v>
      </c>
      <c r="H53" s="164">
        <v>4983</v>
      </c>
      <c r="I53" s="179">
        <f>IFERROR(H53/G53-1,"-")</f>
        <v>0.72720970537261698</v>
      </c>
      <c r="J53" s="165">
        <f t="shared" si="23"/>
        <v>3.763862332695985</v>
      </c>
      <c r="K53" s="164">
        <f t="shared" si="24"/>
        <v>2098</v>
      </c>
      <c r="L53" s="164">
        <f t="shared" si="25"/>
        <v>3937</v>
      </c>
      <c r="M53" s="165">
        <f t="shared" si="22"/>
        <v>1.5850305427719681E-3</v>
      </c>
    </row>
    <row r="54" spans="2:13" x14ac:dyDescent="0.25">
      <c r="B54" s="163" t="s">
        <v>105</v>
      </c>
      <c r="C54" s="164">
        <v>1160</v>
      </c>
      <c r="D54" s="164">
        <v>1497</v>
      </c>
      <c r="E54" s="164">
        <v>3389</v>
      </c>
      <c r="F54" s="164">
        <v>2752</v>
      </c>
      <c r="G54" s="164">
        <v>1948</v>
      </c>
      <c r="H54" s="164">
        <v>5034</v>
      </c>
      <c r="I54" s="179">
        <f>IFERROR(H54/G54-1,"-")</f>
        <v>1.5841889117043122</v>
      </c>
      <c r="J54" s="165">
        <f t="shared" si="23"/>
        <v>2.3627254509018036</v>
      </c>
      <c r="K54" s="164">
        <f t="shared" si="24"/>
        <v>3086</v>
      </c>
      <c r="L54" s="164">
        <f t="shared" si="25"/>
        <v>3537</v>
      </c>
      <c r="M54" s="165">
        <f t="shared" si="22"/>
        <v>1.6012530106991947E-3</v>
      </c>
    </row>
    <row r="55" spans="2:13" x14ac:dyDescent="0.25">
      <c r="B55" s="159" t="s">
        <v>112</v>
      </c>
      <c r="C55" s="160">
        <v>4575</v>
      </c>
      <c r="D55" s="160">
        <v>16622</v>
      </c>
      <c r="E55" s="160">
        <v>16849</v>
      </c>
      <c r="F55" s="160">
        <v>18907</v>
      </c>
      <c r="G55" s="160">
        <v>19637</v>
      </c>
      <c r="H55" s="160">
        <v>19714</v>
      </c>
      <c r="I55" s="178">
        <f>IFERROR(H55/G55-1,"-")</f>
        <v>3.9211692213678706E-3</v>
      </c>
      <c r="J55" s="161">
        <f t="shared" si="23"/>
        <v>0.1860185296594874</v>
      </c>
      <c r="K55" s="160">
        <f t="shared" si="24"/>
        <v>77</v>
      </c>
      <c r="L55" s="160">
        <f t="shared" si="25"/>
        <v>3092</v>
      </c>
      <c r="M55" s="161">
        <f t="shared" si="22"/>
        <v>6.2707790728891389E-3</v>
      </c>
    </row>
    <row r="56" spans="2:13" x14ac:dyDescent="0.25">
      <c r="B56" s="163" t="s">
        <v>115</v>
      </c>
      <c r="C56" s="164">
        <v>148</v>
      </c>
      <c r="D56" s="164">
        <v>6041</v>
      </c>
      <c r="E56" s="164">
        <v>5258</v>
      </c>
      <c r="F56" s="164">
        <v>6432</v>
      </c>
      <c r="G56" s="164">
        <v>6974</v>
      </c>
      <c r="H56" s="164">
        <v>5299</v>
      </c>
      <c r="I56" s="179">
        <f t="shared" ref="I56:I63" si="26">IFERROR(H56/G56-1,"-")</f>
        <v>-0.24017780326928595</v>
      </c>
      <c r="J56" s="165">
        <f t="shared" si="23"/>
        <v>-0.12282734646581694</v>
      </c>
      <c r="K56" s="164">
        <f t="shared" si="24"/>
        <v>-1675</v>
      </c>
      <c r="L56" s="164">
        <f t="shared" si="25"/>
        <v>-742</v>
      </c>
      <c r="M56" s="165">
        <f t="shared" si="22"/>
        <v>1.6855462263994901E-3</v>
      </c>
    </row>
    <row r="57" spans="2:13" x14ac:dyDescent="0.25">
      <c r="B57" s="163" t="s">
        <v>118</v>
      </c>
      <c r="C57" s="164">
        <v>1674</v>
      </c>
      <c r="D57" s="164">
        <v>3822</v>
      </c>
      <c r="E57" s="164">
        <v>2946</v>
      </c>
      <c r="F57" s="164">
        <v>3509</v>
      </c>
      <c r="G57" s="164">
        <v>3897</v>
      </c>
      <c r="H57" s="164">
        <v>4224</v>
      </c>
      <c r="I57" s="179">
        <f t="shared" si="26"/>
        <v>8.3910700538875949E-2</v>
      </c>
      <c r="J57" s="165">
        <f t="shared" si="23"/>
        <v>0.10518053375196224</v>
      </c>
      <c r="K57" s="164">
        <f t="shared" si="24"/>
        <v>327</v>
      </c>
      <c r="L57" s="164">
        <f t="shared" si="25"/>
        <v>402</v>
      </c>
      <c r="M57" s="165">
        <f t="shared" si="22"/>
        <v>1.3436020495020656E-3</v>
      </c>
    </row>
    <row r="58" spans="2:13" x14ac:dyDescent="0.25">
      <c r="B58" s="163" t="s">
        <v>121</v>
      </c>
      <c r="C58" s="164">
        <v>722</v>
      </c>
      <c r="D58" s="164">
        <v>1296</v>
      </c>
      <c r="E58" s="164">
        <v>1740</v>
      </c>
      <c r="F58" s="164">
        <v>1485</v>
      </c>
      <c r="G58" s="164">
        <v>1375</v>
      </c>
      <c r="H58" s="164">
        <v>2198</v>
      </c>
      <c r="I58" s="179">
        <f t="shared" si="26"/>
        <v>0.59854545454545449</v>
      </c>
      <c r="J58" s="165">
        <f t="shared" si="23"/>
        <v>0.69598765432098775</v>
      </c>
      <c r="K58" s="164">
        <f t="shared" si="24"/>
        <v>823</v>
      </c>
      <c r="L58" s="164">
        <f t="shared" si="25"/>
        <v>902</v>
      </c>
      <c r="M58" s="165">
        <f t="shared" si="22"/>
        <v>6.9915655890282673E-4</v>
      </c>
    </row>
    <row r="59" spans="2:13" x14ac:dyDescent="0.25">
      <c r="B59" s="163" t="s">
        <v>128</v>
      </c>
      <c r="C59" s="164">
        <v>109</v>
      </c>
      <c r="D59" s="164">
        <v>491</v>
      </c>
      <c r="E59" s="164">
        <v>400</v>
      </c>
      <c r="F59" s="164">
        <v>566</v>
      </c>
      <c r="G59" s="164">
        <v>594</v>
      </c>
      <c r="H59" s="164">
        <v>855</v>
      </c>
      <c r="I59" s="179">
        <f t="shared" si="26"/>
        <v>0.43939393939393945</v>
      </c>
      <c r="J59" s="165">
        <f t="shared" si="23"/>
        <v>0.74134419551934827</v>
      </c>
      <c r="K59" s="164">
        <f t="shared" si="24"/>
        <v>261</v>
      </c>
      <c r="L59" s="164">
        <f t="shared" si="25"/>
        <v>364</v>
      </c>
      <c r="M59" s="165">
        <f t="shared" si="22"/>
        <v>2.7196490348585848E-4</v>
      </c>
    </row>
    <row r="60" spans="2:13" x14ac:dyDescent="0.25">
      <c r="B60" s="163" t="s">
        <v>124</v>
      </c>
      <c r="C60" s="164">
        <v>164</v>
      </c>
      <c r="D60" s="164">
        <v>436</v>
      </c>
      <c r="E60" s="164">
        <v>398</v>
      </c>
      <c r="F60" s="164">
        <v>333</v>
      </c>
      <c r="G60" s="164">
        <v>541</v>
      </c>
      <c r="H60" s="164">
        <v>515</v>
      </c>
      <c r="I60" s="179">
        <f t="shared" si="26"/>
        <v>-4.8059149722735728E-2</v>
      </c>
      <c r="J60" s="165">
        <f t="shared" si="23"/>
        <v>0.1811926605504588</v>
      </c>
      <c r="K60" s="164">
        <f t="shared" si="24"/>
        <v>-26</v>
      </c>
      <c r="L60" s="164">
        <f t="shared" si="25"/>
        <v>79</v>
      </c>
      <c r="M60" s="165">
        <f t="shared" si="22"/>
        <v>1.6381511730434749E-4</v>
      </c>
    </row>
    <row r="61" spans="2:13" x14ac:dyDescent="0.25">
      <c r="B61" s="163" t="s">
        <v>133</v>
      </c>
      <c r="C61" s="164">
        <v>39</v>
      </c>
      <c r="D61" s="164">
        <v>57</v>
      </c>
      <c r="E61" s="164">
        <v>156</v>
      </c>
      <c r="F61" s="164">
        <v>88</v>
      </c>
      <c r="G61" s="164">
        <v>172</v>
      </c>
      <c r="H61" s="164">
        <v>126</v>
      </c>
      <c r="I61" s="179">
        <f t="shared" si="26"/>
        <v>-0.26744186046511631</v>
      </c>
      <c r="J61" s="165">
        <f t="shared" si="23"/>
        <v>1.2105263157894739</v>
      </c>
      <c r="K61" s="164">
        <f t="shared" si="24"/>
        <v>-46</v>
      </c>
      <c r="L61" s="164">
        <f t="shared" si="25"/>
        <v>69</v>
      </c>
      <c r="M61" s="165">
        <f t="shared" si="22"/>
        <v>4.00790384084423E-5</v>
      </c>
    </row>
    <row r="62" spans="2:13" x14ac:dyDescent="0.25">
      <c r="B62" s="163" t="s">
        <v>136</v>
      </c>
      <c r="C62" s="164">
        <v>17</v>
      </c>
      <c r="D62" s="164">
        <v>95</v>
      </c>
      <c r="E62" s="164">
        <v>138</v>
      </c>
      <c r="F62" s="164">
        <v>90</v>
      </c>
      <c r="G62" s="164">
        <v>418</v>
      </c>
      <c r="H62" s="164">
        <v>123</v>
      </c>
      <c r="I62" s="179">
        <f t="shared" si="26"/>
        <v>-0.70574162679425845</v>
      </c>
      <c r="J62" s="165">
        <f t="shared" si="23"/>
        <v>0.29473684210526319</v>
      </c>
      <c r="K62" s="164">
        <f t="shared" si="24"/>
        <v>-295</v>
      </c>
      <c r="L62" s="164">
        <f t="shared" si="25"/>
        <v>28</v>
      </c>
      <c r="M62" s="165">
        <f t="shared" si="22"/>
        <v>3.9124775589193672E-5</v>
      </c>
    </row>
    <row r="63" spans="2:13" x14ac:dyDescent="0.25">
      <c r="B63" s="168" t="s">
        <v>150</v>
      </c>
      <c r="C63" s="169">
        <f t="shared" ref="C63:H63" si="27">C55-SUM(C56:C62)</f>
        <v>1702</v>
      </c>
      <c r="D63" s="169">
        <f t="shared" si="27"/>
        <v>4384</v>
      </c>
      <c r="E63" s="169">
        <f t="shared" si="27"/>
        <v>5813</v>
      </c>
      <c r="F63" s="169">
        <f t="shared" si="27"/>
        <v>6404</v>
      </c>
      <c r="G63" s="169">
        <f t="shared" si="27"/>
        <v>5666</v>
      </c>
      <c r="H63" s="169">
        <f t="shared" si="27"/>
        <v>6374</v>
      </c>
      <c r="I63" s="180">
        <f t="shared" si="26"/>
        <v>0.12495587716201917</v>
      </c>
      <c r="J63" s="170">
        <f t="shared" si="23"/>
        <v>0.45392335766423364</v>
      </c>
      <c r="K63" s="169">
        <f>H63-G63</f>
        <v>708</v>
      </c>
      <c r="L63" s="169">
        <f t="shared" si="25"/>
        <v>1990</v>
      </c>
      <c r="M63" s="170">
        <f t="shared" si="22"/>
        <v>2.0274904032969144E-3</v>
      </c>
    </row>
    <row r="64" spans="2:13" x14ac:dyDescent="0.25">
      <c r="B64" s="155" t="s">
        <v>49</v>
      </c>
      <c r="C64" s="153"/>
      <c r="D64" s="153"/>
      <c r="E64" s="153"/>
      <c r="F64" s="153"/>
      <c r="G64" s="153"/>
      <c r="H64" s="153"/>
      <c r="I64" s="154"/>
      <c r="J64" s="154"/>
      <c r="K64" s="154"/>
      <c r="L64" s="153"/>
      <c r="M64" s="153"/>
    </row>
    <row r="65" spans="2:13" x14ac:dyDescent="0.25">
      <c r="B65" s="156" t="s">
        <v>73</v>
      </c>
      <c r="C65" s="176">
        <v>19378</v>
      </c>
      <c r="D65" s="176">
        <v>91869</v>
      </c>
      <c r="E65" s="176">
        <v>103711</v>
      </c>
      <c r="F65" s="176">
        <v>133707</v>
      </c>
      <c r="G65" s="176">
        <v>111695</v>
      </c>
      <c r="H65" s="176">
        <v>111055</v>
      </c>
      <c r="I65" s="177">
        <f>IFERROR(H65/G65-1,"-")</f>
        <v>-5.729889431039914E-3</v>
      </c>
      <c r="J65" s="177">
        <f>IFERROR(H65/D65-1,"-")</f>
        <v>0.20884084947044168</v>
      </c>
      <c r="K65" s="176">
        <f>H65-G65</f>
        <v>-640</v>
      </c>
      <c r="L65" s="176">
        <f>H65-D65</f>
        <v>19186</v>
      </c>
      <c r="M65" s="177">
        <f t="shared" ref="M65:M77" si="28">H65/H$9</f>
        <v>3.532521913055206E-2</v>
      </c>
    </row>
    <row r="66" spans="2:13" x14ac:dyDescent="0.25">
      <c r="B66" s="159" t="s">
        <v>102</v>
      </c>
      <c r="C66" s="160">
        <v>11048</v>
      </c>
      <c r="D66" s="160">
        <v>27158</v>
      </c>
      <c r="E66" s="160">
        <v>24320</v>
      </c>
      <c r="F66" s="160">
        <v>32909</v>
      </c>
      <c r="G66" s="160">
        <v>25581</v>
      </c>
      <c r="H66" s="160">
        <v>26764</v>
      </c>
      <c r="I66" s="178">
        <f>IFERROR(H66/G66-1,"-")</f>
        <v>4.624526015402064E-2</v>
      </c>
      <c r="J66" s="161">
        <f t="shared" ref="J66:J77" si="29">IFERROR(H66/D66-1,"-")</f>
        <v>-1.4507695706605817E-2</v>
      </c>
      <c r="K66" s="160">
        <f t="shared" ref="K66:K76" si="30">H66-G66</f>
        <v>1183</v>
      </c>
      <c r="L66" s="160">
        <f t="shared" ref="L66:L77" si="31">H66-D66</f>
        <v>-394</v>
      </c>
      <c r="M66" s="161">
        <f t="shared" si="28"/>
        <v>8.5132966981234098E-3</v>
      </c>
    </row>
    <row r="67" spans="2:13" x14ac:dyDescent="0.25">
      <c r="B67" s="163" t="s">
        <v>108</v>
      </c>
      <c r="C67" s="164">
        <v>10574</v>
      </c>
      <c r="D67" s="164">
        <v>21983</v>
      </c>
      <c r="E67" s="164">
        <v>18256</v>
      </c>
      <c r="F67" s="164">
        <v>19799</v>
      </c>
      <c r="G67" s="164">
        <v>10049</v>
      </c>
      <c r="H67" s="164">
        <v>13286</v>
      </c>
      <c r="I67" s="179">
        <f>IFERROR(H67/G67-1,"-")</f>
        <v>0.32212160413971547</v>
      </c>
      <c r="J67" s="165">
        <f t="shared" si="29"/>
        <v>-0.39562389118864583</v>
      </c>
      <c r="K67" s="164">
        <f t="shared" si="30"/>
        <v>3237</v>
      </c>
      <c r="L67" s="164">
        <f t="shared" si="31"/>
        <v>-8697</v>
      </c>
      <c r="M67" s="165">
        <f t="shared" si="28"/>
        <v>4.2261119388457488E-3</v>
      </c>
    </row>
    <row r="68" spans="2:13" x14ac:dyDescent="0.25">
      <c r="B68" s="163" t="s">
        <v>105</v>
      </c>
      <c r="C68" s="164">
        <v>474</v>
      </c>
      <c r="D68" s="164">
        <v>5175</v>
      </c>
      <c r="E68" s="164">
        <v>6064</v>
      </c>
      <c r="F68" s="164">
        <v>13110</v>
      </c>
      <c r="G68" s="164">
        <v>15532</v>
      </c>
      <c r="H68" s="164">
        <v>13478</v>
      </c>
      <c r="I68" s="179">
        <f>IFERROR(H68/G68-1,"-")</f>
        <v>-0.13224311099665209</v>
      </c>
      <c r="J68" s="165">
        <f t="shared" si="29"/>
        <v>1.6044444444444443</v>
      </c>
      <c r="K68" s="164">
        <f t="shared" si="30"/>
        <v>-2054</v>
      </c>
      <c r="L68" s="164">
        <f t="shared" si="31"/>
        <v>8303</v>
      </c>
      <c r="M68" s="165">
        <f t="shared" si="28"/>
        <v>4.287184759277661E-3</v>
      </c>
    </row>
    <row r="69" spans="2:13" x14ac:dyDescent="0.25">
      <c r="B69" s="159" t="s">
        <v>112</v>
      </c>
      <c r="C69" s="160">
        <v>8330</v>
      </c>
      <c r="D69" s="160">
        <v>64711</v>
      </c>
      <c r="E69" s="160">
        <v>79391</v>
      </c>
      <c r="F69" s="160">
        <v>100798</v>
      </c>
      <c r="G69" s="160">
        <v>86114</v>
      </c>
      <c r="H69" s="160">
        <v>84291</v>
      </c>
      <c r="I69" s="178">
        <f>IFERROR(H69/G69-1,"-")</f>
        <v>-2.1169612374294489E-2</v>
      </c>
      <c r="J69" s="161">
        <f t="shared" si="29"/>
        <v>0.30257606898363498</v>
      </c>
      <c r="K69" s="160">
        <f t="shared" si="30"/>
        <v>-1823</v>
      </c>
      <c r="L69" s="160">
        <f t="shared" si="31"/>
        <v>19580</v>
      </c>
      <c r="M69" s="161">
        <f t="shared" si="28"/>
        <v>2.681192243242865E-2</v>
      </c>
    </row>
    <row r="70" spans="2:13" x14ac:dyDescent="0.25">
      <c r="B70" s="163" t="s">
        <v>115</v>
      </c>
      <c r="C70" s="164">
        <v>877</v>
      </c>
      <c r="D70" s="164">
        <v>28440</v>
      </c>
      <c r="E70" s="164">
        <v>29423</v>
      </c>
      <c r="F70" s="164">
        <v>42683</v>
      </c>
      <c r="G70" s="164">
        <v>43781</v>
      </c>
      <c r="H70" s="164">
        <v>44859</v>
      </c>
      <c r="I70" s="179">
        <f t="shared" ref="I70:I77" si="32">IFERROR(H70/G70-1,"-")</f>
        <v>2.4622553162330751E-2</v>
      </c>
      <c r="J70" s="165">
        <f t="shared" si="29"/>
        <v>0.57732067510548513</v>
      </c>
      <c r="K70" s="164">
        <f t="shared" si="30"/>
        <v>1078</v>
      </c>
      <c r="L70" s="164">
        <f t="shared" si="31"/>
        <v>16419</v>
      </c>
      <c r="M70" s="165">
        <f t="shared" si="28"/>
        <v>1.4269091936224707E-2</v>
      </c>
    </row>
    <row r="71" spans="2:13" x14ac:dyDescent="0.25">
      <c r="B71" s="163" t="s">
        <v>118</v>
      </c>
      <c r="C71" s="164">
        <v>1276</v>
      </c>
      <c r="D71" s="164">
        <v>5592</v>
      </c>
      <c r="E71" s="164">
        <v>6539</v>
      </c>
      <c r="F71" s="164">
        <v>6151</v>
      </c>
      <c r="G71" s="164">
        <v>6122</v>
      </c>
      <c r="H71" s="164">
        <v>5491</v>
      </c>
      <c r="I71" s="179">
        <f t="shared" si="32"/>
        <v>-0.10307089186540341</v>
      </c>
      <c r="J71" s="165">
        <f t="shared" si="29"/>
        <v>-1.8061516452074433E-2</v>
      </c>
      <c r="K71" s="164">
        <f t="shared" si="30"/>
        <v>-631</v>
      </c>
      <c r="L71" s="164">
        <f t="shared" si="31"/>
        <v>-101</v>
      </c>
      <c r="M71" s="165">
        <f t="shared" si="28"/>
        <v>1.7466190468314021E-3</v>
      </c>
    </row>
    <row r="72" spans="2:13" x14ac:dyDescent="0.25">
      <c r="B72" s="163" t="s">
        <v>121</v>
      </c>
      <c r="C72" s="164">
        <v>1376</v>
      </c>
      <c r="D72" s="164">
        <v>8342</v>
      </c>
      <c r="E72" s="164">
        <v>9090</v>
      </c>
      <c r="F72" s="164">
        <v>10999</v>
      </c>
      <c r="G72" s="164">
        <v>5823</v>
      </c>
      <c r="H72" s="164">
        <v>5260</v>
      </c>
      <c r="I72" s="179">
        <f t="shared" si="32"/>
        <v>-9.6685557272883416E-2</v>
      </c>
      <c r="J72" s="165">
        <f t="shared" si="29"/>
        <v>-0.3694557660033565</v>
      </c>
      <c r="K72" s="164">
        <f t="shared" si="30"/>
        <v>-563</v>
      </c>
      <c r="L72" s="164">
        <f t="shared" si="31"/>
        <v>-3082</v>
      </c>
      <c r="M72" s="165">
        <f t="shared" si="28"/>
        <v>1.6731408097492579E-3</v>
      </c>
    </row>
    <row r="73" spans="2:13" x14ac:dyDescent="0.25">
      <c r="B73" s="163" t="s">
        <v>128</v>
      </c>
      <c r="C73" s="164">
        <v>425</v>
      </c>
      <c r="D73" s="164">
        <v>1776</v>
      </c>
      <c r="E73" s="164">
        <v>2282</v>
      </c>
      <c r="F73" s="164">
        <v>3644</v>
      </c>
      <c r="G73" s="164">
        <v>3147</v>
      </c>
      <c r="H73" s="164">
        <v>3266</v>
      </c>
      <c r="I73" s="179">
        <f t="shared" si="32"/>
        <v>3.7813790911979561E-2</v>
      </c>
      <c r="J73" s="165">
        <f t="shared" si="29"/>
        <v>0.83896396396396389</v>
      </c>
      <c r="K73" s="164">
        <f t="shared" si="30"/>
        <v>119</v>
      </c>
      <c r="L73" s="164">
        <f t="shared" si="31"/>
        <v>1490</v>
      </c>
      <c r="M73" s="165">
        <f t="shared" si="28"/>
        <v>1.0388741225553378E-3</v>
      </c>
    </row>
    <row r="74" spans="2:13" x14ac:dyDescent="0.25">
      <c r="B74" s="163" t="s">
        <v>124</v>
      </c>
      <c r="C74" s="164">
        <v>458</v>
      </c>
      <c r="D74" s="164">
        <v>1913</v>
      </c>
      <c r="E74" s="164">
        <v>1616</v>
      </c>
      <c r="F74" s="164">
        <v>2461</v>
      </c>
      <c r="G74" s="164">
        <v>1749</v>
      </c>
      <c r="H74" s="164">
        <v>1523</v>
      </c>
      <c r="I74" s="179">
        <f t="shared" si="32"/>
        <v>-0.12921669525443114</v>
      </c>
      <c r="J74" s="165">
        <f t="shared" si="29"/>
        <v>-0.203868269733403</v>
      </c>
      <c r="K74" s="164">
        <f t="shared" si="30"/>
        <v>-226</v>
      </c>
      <c r="L74" s="164">
        <f t="shared" si="31"/>
        <v>-390</v>
      </c>
      <c r="M74" s="165">
        <f t="shared" si="28"/>
        <v>4.8444742457188589E-4</v>
      </c>
    </row>
    <row r="75" spans="2:13" x14ac:dyDescent="0.25">
      <c r="B75" s="163" t="s">
        <v>133</v>
      </c>
      <c r="C75" s="164">
        <v>1</v>
      </c>
      <c r="D75" s="164">
        <v>1049</v>
      </c>
      <c r="E75" s="164">
        <v>3211</v>
      </c>
      <c r="F75" s="164">
        <v>2216</v>
      </c>
      <c r="G75" s="164">
        <v>1542</v>
      </c>
      <c r="H75" s="164">
        <v>962</v>
      </c>
      <c r="I75" s="179">
        <f t="shared" si="32"/>
        <v>-0.37613488975356679</v>
      </c>
      <c r="J75" s="165">
        <f t="shared" si="29"/>
        <v>-8.2936129647283141E-2</v>
      </c>
      <c r="K75" s="164">
        <f t="shared" si="30"/>
        <v>-580</v>
      </c>
      <c r="L75" s="164">
        <f t="shared" si="31"/>
        <v>-87</v>
      </c>
      <c r="M75" s="165">
        <f t="shared" si="28"/>
        <v>3.0600027737239281E-4</v>
      </c>
    </row>
    <row r="76" spans="2:13" x14ac:dyDescent="0.25">
      <c r="B76" s="163" t="s">
        <v>136</v>
      </c>
      <c r="C76" s="164">
        <v>0</v>
      </c>
      <c r="D76" s="164">
        <v>428</v>
      </c>
      <c r="E76" s="164">
        <v>944</v>
      </c>
      <c r="F76" s="164">
        <v>1641</v>
      </c>
      <c r="G76" s="164">
        <v>1869</v>
      </c>
      <c r="H76" s="164">
        <v>1760</v>
      </c>
      <c r="I76" s="179">
        <f t="shared" si="32"/>
        <v>-5.8319957196361738E-2</v>
      </c>
      <c r="J76" s="165">
        <f t="shared" si="29"/>
        <v>3.1121495327102799</v>
      </c>
      <c r="K76" s="164">
        <f t="shared" si="30"/>
        <v>-109</v>
      </c>
      <c r="L76" s="164">
        <f t="shared" si="31"/>
        <v>1332</v>
      </c>
      <c r="M76" s="165">
        <f t="shared" si="28"/>
        <v>5.5983418729252735E-4</v>
      </c>
    </row>
    <row r="77" spans="2:13" x14ac:dyDescent="0.25">
      <c r="B77" s="168" t="s">
        <v>150</v>
      </c>
      <c r="C77" s="169">
        <f t="shared" ref="C77:H77" si="33">C69-SUM(C70:C76)</f>
        <v>3917</v>
      </c>
      <c r="D77" s="169">
        <f t="shared" si="33"/>
        <v>17171</v>
      </c>
      <c r="E77" s="169">
        <f t="shared" si="33"/>
        <v>26286</v>
      </c>
      <c r="F77" s="169">
        <f t="shared" si="33"/>
        <v>31003</v>
      </c>
      <c r="G77" s="169">
        <f t="shared" si="33"/>
        <v>22081</v>
      </c>
      <c r="H77" s="169">
        <f t="shared" si="33"/>
        <v>21170</v>
      </c>
      <c r="I77" s="180">
        <f t="shared" si="32"/>
        <v>-4.1257189438884123E-2</v>
      </c>
      <c r="J77" s="170">
        <f t="shared" si="29"/>
        <v>0.23289266787024632</v>
      </c>
      <c r="K77" s="169">
        <f>H77-G77</f>
        <v>-911</v>
      </c>
      <c r="L77" s="169">
        <f t="shared" si="31"/>
        <v>3999</v>
      </c>
      <c r="M77" s="170">
        <f t="shared" si="28"/>
        <v>6.7339146278311383E-3</v>
      </c>
    </row>
    <row r="78" spans="2:13" x14ac:dyDescent="0.25">
      <c r="B78" s="155" t="s">
        <v>50</v>
      </c>
      <c r="C78" s="153"/>
      <c r="D78" s="153"/>
      <c r="E78" s="153"/>
      <c r="F78" s="153"/>
      <c r="G78" s="153"/>
      <c r="H78" s="153"/>
      <c r="I78" s="154"/>
      <c r="J78" s="154"/>
      <c r="K78" s="154"/>
      <c r="L78" s="153"/>
      <c r="M78" s="153"/>
    </row>
    <row r="79" spans="2:13" x14ac:dyDescent="0.25">
      <c r="B79" s="156" t="s">
        <v>73</v>
      </c>
      <c r="C79" s="176">
        <v>111657</v>
      </c>
      <c r="D79" s="176">
        <v>395281</v>
      </c>
      <c r="E79" s="176">
        <v>455709</v>
      </c>
      <c r="F79" s="176">
        <v>526281</v>
      </c>
      <c r="G79" s="176">
        <v>537778</v>
      </c>
      <c r="H79" s="176">
        <v>519145</v>
      </c>
      <c r="I79" s="177">
        <f>IFERROR(H79/G79-1,"-")</f>
        <v>-3.4648126178460248E-2</v>
      </c>
      <c r="J79" s="177">
        <f>IFERROR(H79/D79-1,"-")</f>
        <v>0.31335682716852054</v>
      </c>
      <c r="K79" s="176">
        <f>H79-G79</f>
        <v>-18633</v>
      </c>
      <c r="L79" s="176">
        <f>H79-D79</f>
        <v>123864</v>
      </c>
      <c r="M79" s="177">
        <f t="shared" ref="M79:M91" si="34">H79/H$9</f>
        <v>0.16513359043294268</v>
      </c>
    </row>
    <row r="80" spans="2:13" x14ac:dyDescent="0.25">
      <c r="B80" s="159" t="s">
        <v>102</v>
      </c>
      <c r="C80" s="160">
        <v>66876</v>
      </c>
      <c r="D80" s="160">
        <v>197068</v>
      </c>
      <c r="E80" s="160">
        <v>207135</v>
      </c>
      <c r="F80" s="160">
        <v>223795</v>
      </c>
      <c r="G80" s="160">
        <v>231639</v>
      </c>
      <c r="H80" s="160">
        <v>237110</v>
      </c>
      <c r="I80" s="178">
        <f>IFERROR(H80/G80-1,"-")</f>
        <v>2.3618647982420971E-2</v>
      </c>
      <c r="J80" s="161">
        <f t="shared" ref="J80:J91" si="35">IFERROR(H80/D80-1,"-")</f>
        <v>0.20318874703148149</v>
      </c>
      <c r="K80" s="160">
        <f t="shared" ref="K80:K90" si="36">H80-G80</f>
        <v>5471</v>
      </c>
      <c r="L80" s="160">
        <f t="shared" ref="L80:L91" si="37">H80-D80</f>
        <v>40042</v>
      </c>
      <c r="M80" s="161">
        <f t="shared" si="34"/>
        <v>7.5421752357347258E-2</v>
      </c>
    </row>
    <row r="81" spans="2:13" x14ac:dyDescent="0.25">
      <c r="B81" s="163" t="s">
        <v>108</v>
      </c>
      <c r="C81" s="164">
        <v>27671</v>
      </c>
      <c r="D81" s="164">
        <v>57851</v>
      </c>
      <c r="E81" s="164">
        <v>56615</v>
      </c>
      <c r="F81" s="164">
        <v>65428</v>
      </c>
      <c r="G81" s="164">
        <v>55407</v>
      </c>
      <c r="H81" s="164">
        <v>74445</v>
      </c>
      <c r="I81" s="179">
        <f>IFERROR(H81/G81-1,"-")</f>
        <v>0.34360279387081061</v>
      </c>
      <c r="J81" s="165">
        <f t="shared" si="35"/>
        <v>0.28684033119565777</v>
      </c>
      <c r="K81" s="164">
        <f t="shared" si="36"/>
        <v>19038</v>
      </c>
      <c r="L81" s="164">
        <f t="shared" si="37"/>
        <v>16594</v>
      </c>
      <c r="M81" s="165">
        <f t="shared" si="34"/>
        <v>2.3680031859654657E-2</v>
      </c>
    </row>
    <row r="82" spans="2:13" x14ac:dyDescent="0.25">
      <c r="B82" s="163" t="s">
        <v>105</v>
      </c>
      <c r="C82" s="164">
        <v>39205</v>
      </c>
      <c r="D82" s="164">
        <v>139217</v>
      </c>
      <c r="E82" s="164">
        <v>150520</v>
      </c>
      <c r="F82" s="164">
        <v>158367</v>
      </c>
      <c r="G82" s="164">
        <v>176232</v>
      </c>
      <c r="H82" s="164">
        <v>162665</v>
      </c>
      <c r="I82" s="179">
        <f>IFERROR(H82/G82-1,"-")</f>
        <v>-7.698374869490221E-2</v>
      </c>
      <c r="J82" s="165">
        <f t="shared" si="35"/>
        <v>0.16842770638643279</v>
      </c>
      <c r="K82" s="164">
        <f t="shared" si="36"/>
        <v>-13567</v>
      </c>
      <c r="L82" s="164">
        <f t="shared" si="37"/>
        <v>23448</v>
      </c>
      <c r="M82" s="165">
        <f t="shared" si="34"/>
        <v>5.1741720497692593E-2</v>
      </c>
    </row>
    <row r="83" spans="2:13" x14ac:dyDescent="0.25">
      <c r="B83" s="159" t="s">
        <v>112</v>
      </c>
      <c r="C83" s="160">
        <v>44781</v>
      </c>
      <c r="D83" s="160">
        <v>198213</v>
      </c>
      <c r="E83" s="160">
        <v>248574</v>
      </c>
      <c r="F83" s="160">
        <v>302486</v>
      </c>
      <c r="G83" s="160">
        <v>306139</v>
      </c>
      <c r="H83" s="160">
        <v>282035</v>
      </c>
      <c r="I83" s="178">
        <f>IFERROR(H83/G83-1,"-")</f>
        <v>-7.8735476368577695E-2</v>
      </c>
      <c r="J83" s="161">
        <f t="shared" si="35"/>
        <v>0.42288850882636364</v>
      </c>
      <c r="K83" s="160">
        <f t="shared" si="36"/>
        <v>-24104</v>
      </c>
      <c r="L83" s="160">
        <f t="shared" si="37"/>
        <v>83822</v>
      </c>
      <c r="M83" s="161">
        <f t="shared" si="34"/>
        <v>8.9711838075595435E-2</v>
      </c>
    </row>
    <row r="84" spans="2:13" x14ac:dyDescent="0.25">
      <c r="B84" s="163" t="s">
        <v>115</v>
      </c>
      <c r="C84" s="164">
        <v>2961</v>
      </c>
      <c r="D84" s="164">
        <v>37751</v>
      </c>
      <c r="E84" s="164">
        <v>49445</v>
      </c>
      <c r="F84" s="164">
        <v>61551</v>
      </c>
      <c r="G84" s="164">
        <v>64174</v>
      </c>
      <c r="H84" s="164">
        <v>60436</v>
      </c>
      <c r="I84" s="179">
        <f t="shared" ref="I84:I91" si="38">IFERROR(H84/G84-1,"-")</f>
        <v>-5.8247888552996563E-2</v>
      </c>
      <c r="J84" s="165">
        <f t="shared" si="35"/>
        <v>0.6009112341394931</v>
      </c>
      <c r="K84" s="164">
        <f t="shared" si="36"/>
        <v>-3738</v>
      </c>
      <c r="L84" s="164">
        <f t="shared" si="37"/>
        <v>22685</v>
      </c>
      <c r="M84" s="165">
        <f t="shared" si="34"/>
        <v>1.9223942581369991E-2</v>
      </c>
    </row>
    <row r="85" spans="2:13" x14ac:dyDescent="0.25">
      <c r="B85" s="163" t="s">
        <v>118</v>
      </c>
      <c r="C85" s="164">
        <v>9932</v>
      </c>
      <c r="D85" s="164">
        <v>60603</v>
      </c>
      <c r="E85" s="164">
        <v>72092</v>
      </c>
      <c r="F85" s="164">
        <v>82026</v>
      </c>
      <c r="G85" s="164">
        <v>80018</v>
      </c>
      <c r="H85" s="164">
        <v>70309</v>
      </c>
      <c r="I85" s="179">
        <f t="shared" si="38"/>
        <v>-0.12133519958009453</v>
      </c>
      <c r="J85" s="165">
        <f t="shared" si="35"/>
        <v>0.16015708793294059</v>
      </c>
      <c r="K85" s="164">
        <f t="shared" si="36"/>
        <v>-9709</v>
      </c>
      <c r="L85" s="164">
        <f t="shared" si="37"/>
        <v>9706</v>
      </c>
      <c r="M85" s="165">
        <f t="shared" si="34"/>
        <v>2.236442151951722E-2</v>
      </c>
    </row>
    <row r="86" spans="2:13" x14ac:dyDescent="0.25">
      <c r="B86" s="163" t="s">
        <v>121</v>
      </c>
      <c r="C86" s="164">
        <v>7948</v>
      </c>
      <c r="D86" s="164">
        <v>17790</v>
      </c>
      <c r="E86" s="164">
        <v>22629</v>
      </c>
      <c r="F86" s="164">
        <v>34335</v>
      </c>
      <c r="G86" s="164">
        <v>34566</v>
      </c>
      <c r="H86" s="164">
        <v>32751</v>
      </c>
      <c r="I86" s="179">
        <f t="shared" si="38"/>
        <v>-5.2508245096337447E-2</v>
      </c>
      <c r="J86" s="165">
        <f t="shared" si="35"/>
        <v>0.84097807757166954</v>
      </c>
      <c r="K86" s="164">
        <f t="shared" si="36"/>
        <v>-1815</v>
      </c>
      <c r="L86" s="164">
        <f t="shared" si="37"/>
        <v>14961</v>
      </c>
      <c r="M86" s="165">
        <f t="shared" si="34"/>
        <v>1.0417687197737252E-2</v>
      </c>
    </row>
    <row r="87" spans="2:13" x14ac:dyDescent="0.25">
      <c r="B87" s="163" t="s">
        <v>128</v>
      </c>
      <c r="C87" s="164">
        <v>1117</v>
      </c>
      <c r="D87" s="164">
        <v>5814</v>
      </c>
      <c r="E87" s="164">
        <v>5985</v>
      </c>
      <c r="F87" s="164">
        <v>9790</v>
      </c>
      <c r="G87" s="164">
        <v>8786</v>
      </c>
      <c r="H87" s="164">
        <v>8073</v>
      </c>
      <c r="I87" s="179">
        <f t="shared" si="38"/>
        <v>-8.1151832460732987E-2</v>
      </c>
      <c r="J87" s="165">
        <f t="shared" si="35"/>
        <v>0.38854489164086692</v>
      </c>
      <c r="K87" s="164">
        <f t="shared" si="36"/>
        <v>-713</v>
      </c>
      <c r="L87" s="164">
        <f t="shared" si="37"/>
        <v>2259</v>
      </c>
      <c r="M87" s="165">
        <f t="shared" si="34"/>
        <v>2.5679212465980531E-3</v>
      </c>
    </row>
    <row r="88" spans="2:13" x14ac:dyDescent="0.25">
      <c r="B88" s="163" t="s">
        <v>124</v>
      </c>
      <c r="C88" s="164">
        <v>1121</v>
      </c>
      <c r="D88" s="164">
        <v>3404</v>
      </c>
      <c r="E88" s="164">
        <v>3651</v>
      </c>
      <c r="F88" s="164">
        <v>4881</v>
      </c>
      <c r="G88" s="164">
        <v>4824</v>
      </c>
      <c r="H88" s="164">
        <v>5622</v>
      </c>
      <c r="I88" s="179">
        <f t="shared" si="38"/>
        <v>0.16542288557213936</v>
      </c>
      <c r="J88" s="165">
        <f t="shared" si="35"/>
        <v>0.6515863689776733</v>
      </c>
      <c r="K88" s="164">
        <f t="shared" si="36"/>
        <v>798</v>
      </c>
      <c r="L88" s="164">
        <f t="shared" si="37"/>
        <v>2218</v>
      </c>
      <c r="M88" s="165">
        <f t="shared" si="34"/>
        <v>1.7882885232719254E-3</v>
      </c>
    </row>
    <row r="89" spans="2:13" x14ac:dyDescent="0.25">
      <c r="B89" s="163" t="s">
        <v>133</v>
      </c>
      <c r="C89" s="164">
        <v>250</v>
      </c>
      <c r="D89" s="164">
        <v>3773</v>
      </c>
      <c r="E89" s="164">
        <v>5362</v>
      </c>
      <c r="F89" s="164">
        <v>4544</v>
      </c>
      <c r="G89" s="164">
        <v>4864</v>
      </c>
      <c r="H89" s="164">
        <v>4035</v>
      </c>
      <c r="I89" s="179">
        <f t="shared" si="38"/>
        <v>-0.17043585526315785</v>
      </c>
      <c r="J89" s="165">
        <f t="shared" si="35"/>
        <v>6.944076331831428E-2</v>
      </c>
      <c r="K89" s="164">
        <f t="shared" si="36"/>
        <v>-829</v>
      </c>
      <c r="L89" s="164">
        <f t="shared" si="37"/>
        <v>262</v>
      </c>
      <c r="M89" s="165">
        <f t="shared" si="34"/>
        <v>1.2834834918894022E-3</v>
      </c>
    </row>
    <row r="90" spans="2:13" x14ac:dyDescent="0.25">
      <c r="B90" s="163" t="s">
        <v>136</v>
      </c>
      <c r="C90" s="164">
        <v>445</v>
      </c>
      <c r="D90" s="164">
        <v>3304</v>
      </c>
      <c r="E90" s="164">
        <v>5785</v>
      </c>
      <c r="F90" s="164">
        <v>6048</v>
      </c>
      <c r="G90" s="164">
        <v>4065</v>
      </c>
      <c r="H90" s="164">
        <v>4749</v>
      </c>
      <c r="I90" s="179">
        <f t="shared" si="38"/>
        <v>0.16826568265682651</v>
      </c>
      <c r="J90" s="165">
        <f t="shared" si="35"/>
        <v>0.4373486682808716</v>
      </c>
      <c r="K90" s="164">
        <f t="shared" si="36"/>
        <v>684</v>
      </c>
      <c r="L90" s="164">
        <f t="shared" si="37"/>
        <v>1445</v>
      </c>
      <c r="M90" s="165">
        <f t="shared" si="34"/>
        <v>1.5105980428705753E-3</v>
      </c>
    </row>
    <row r="91" spans="2:13" x14ac:dyDescent="0.25">
      <c r="B91" s="168" t="s">
        <v>150</v>
      </c>
      <c r="C91" s="169">
        <f t="shared" ref="C91:H91" si="39">C83-SUM(C84:C90)</f>
        <v>21007</v>
      </c>
      <c r="D91" s="169">
        <f t="shared" si="39"/>
        <v>65774</v>
      </c>
      <c r="E91" s="169">
        <f t="shared" si="39"/>
        <v>83625</v>
      </c>
      <c r="F91" s="169">
        <f t="shared" si="39"/>
        <v>99311</v>
      </c>
      <c r="G91" s="169">
        <f t="shared" si="39"/>
        <v>104842</v>
      </c>
      <c r="H91" s="169">
        <f t="shared" si="39"/>
        <v>96060</v>
      </c>
      <c r="I91" s="180">
        <f t="shared" si="38"/>
        <v>-8.3764140325442105E-2</v>
      </c>
      <c r="J91" s="170">
        <f t="shared" si="35"/>
        <v>0.46045549913339623</v>
      </c>
      <c r="K91" s="169">
        <f>H91-G91</f>
        <v>-8782</v>
      </c>
      <c r="L91" s="169">
        <f t="shared" si="37"/>
        <v>30286</v>
      </c>
      <c r="M91" s="170">
        <f t="shared" si="34"/>
        <v>3.0555495472341009E-2</v>
      </c>
    </row>
    <row r="92" spans="2:13" x14ac:dyDescent="0.25">
      <c r="B92" s="155" t="s">
        <v>51</v>
      </c>
      <c r="C92" s="153"/>
      <c r="D92" s="153"/>
      <c r="E92" s="153"/>
      <c r="F92" s="153"/>
      <c r="G92" s="153"/>
      <c r="H92" s="153"/>
      <c r="I92" s="154"/>
      <c r="J92" s="154"/>
      <c r="K92" s="154"/>
      <c r="L92" s="153"/>
      <c r="M92" s="153"/>
    </row>
    <row r="93" spans="2:13" x14ac:dyDescent="0.25">
      <c r="B93" s="156" t="s">
        <v>73</v>
      </c>
      <c r="C93" s="176">
        <v>14230</v>
      </c>
      <c r="D93" s="176">
        <v>28946</v>
      </c>
      <c r="E93" s="176">
        <v>35023</v>
      </c>
      <c r="F93" s="176">
        <v>33791</v>
      </c>
      <c r="G93" s="176">
        <v>31909</v>
      </c>
      <c r="H93" s="176">
        <v>31112</v>
      </c>
      <c r="I93" s="177">
        <f>IFERROR(H93/G93-1,"-")</f>
        <v>-2.4977279137547437E-2</v>
      </c>
      <c r="J93" s="177">
        <f>IFERROR(H93/D93-1,"-")</f>
        <v>7.4828991915981469E-2</v>
      </c>
      <c r="K93" s="176">
        <f>H93-G93</f>
        <v>-797</v>
      </c>
      <c r="L93" s="176">
        <f>H93-D93</f>
        <v>2166</v>
      </c>
      <c r="M93" s="177">
        <f t="shared" ref="M93:M105" si="40">H93/H$9</f>
        <v>9.8963416108210859E-3</v>
      </c>
    </row>
    <row r="94" spans="2:13" x14ac:dyDescent="0.25">
      <c r="B94" s="159" t="s">
        <v>102</v>
      </c>
      <c r="C94" s="160">
        <v>9042</v>
      </c>
      <c r="D94" s="160">
        <v>18683</v>
      </c>
      <c r="E94" s="160">
        <v>23106</v>
      </c>
      <c r="F94" s="160">
        <v>20343</v>
      </c>
      <c r="G94" s="160">
        <v>19090</v>
      </c>
      <c r="H94" s="160">
        <v>19531</v>
      </c>
      <c r="I94" s="178">
        <f>IFERROR(H94/G94-1,"-")</f>
        <v>2.3101100052383527E-2</v>
      </c>
      <c r="J94" s="161">
        <f t="shared" ref="J94:J105" si="41">IFERROR(H94/D94-1,"-")</f>
        <v>4.5388856179414461E-2</v>
      </c>
      <c r="K94" s="160">
        <f t="shared" ref="K94:K104" si="42">H94-G94</f>
        <v>441</v>
      </c>
      <c r="L94" s="160">
        <f t="shared" ref="L94:L105" si="43">H94-D94</f>
        <v>848</v>
      </c>
      <c r="M94" s="161">
        <f t="shared" si="40"/>
        <v>6.212569040914973E-3</v>
      </c>
    </row>
    <row r="95" spans="2:13" x14ac:dyDescent="0.25">
      <c r="B95" s="163" t="s">
        <v>108</v>
      </c>
      <c r="C95" s="164">
        <v>4883</v>
      </c>
      <c r="D95" s="164">
        <v>9207</v>
      </c>
      <c r="E95" s="164">
        <v>7164</v>
      </c>
      <c r="F95" s="164">
        <v>6280</v>
      </c>
      <c r="G95" s="164">
        <v>6212</v>
      </c>
      <c r="H95" s="164">
        <v>8055</v>
      </c>
      <c r="I95" s="179">
        <f>IFERROR(H95/G95-1,"-")</f>
        <v>0.29668383773341911</v>
      </c>
      <c r="J95" s="165">
        <f t="shared" si="41"/>
        <v>-0.12512218963831867</v>
      </c>
      <c r="K95" s="164">
        <f t="shared" si="42"/>
        <v>1843</v>
      </c>
      <c r="L95" s="164">
        <f t="shared" si="43"/>
        <v>-1152</v>
      </c>
      <c r="M95" s="165">
        <f t="shared" si="40"/>
        <v>2.5621956696825613E-3</v>
      </c>
    </row>
    <row r="96" spans="2:13" x14ac:dyDescent="0.25">
      <c r="B96" s="163" t="s">
        <v>105</v>
      </c>
      <c r="C96" s="164">
        <v>4159</v>
      </c>
      <c r="D96" s="164">
        <v>9476</v>
      </c>
      <c r="E96" s="164">
        <v>15942</v>
      </c>
      <c r="F96" s="164">
        <v>14063</v>
      </c>
      <c r="G96" s="164">
        <v>12878</v>
      </c>
      <c r="H96" s="164">
        <v>11476</v>
      </c>
      <c r="I96" s="179">
        <f>IFERROR(H96/G96-1,"-")</f>
        <v>-0.10886783662059329</v>
      </c>
      <c r="J96" s="165">
        <f t="shared" si="41"/>
        <v>0.21105951878429718</v>
      </c>
      <c r="K96" s="164">
        <f t="shared" si="42"/>
        <v>-1402</v>
      </c>
      <c r="L96" s="164">
        <f t="shared" si="43"/>
        <v>2000</v>
      </c>
      <c r="M96" s="165">
        <f t="shared" si="40"/>
        <v>3.6503733712324113E-3</v>
      </c>
    </row>
    <row r="97" spans="2:13" x14ac:dyDescent="0.25">
      <c r="B97" s="159" t="s">
        <v>112</v>
      </c>
      <c r="C97" s="160">
        <v>5188</v>
      </c>
      <c r="D97" s="160">
        <v>10263</v>
      </c>
      <c r="E97" s="160">
        <v>11917</v>
      </c>
      <c r="F97" s="160">
        <v>13448</v>
      </c>
      <c r="G97" s="160">
        <v>12819</v>
      </c>
      <c r="H97" s="160">
        <v>11581</v>
      </c>
      <c r="I97" s="178">
        <f>IFERROR(H97/G97-1,"-")</f>
        <v>-9.6575395896715821E-2</v>
      </c>
      <c r="J97" s="161">
        <f t="shared" si="41"/>
        <v>0.12842248855110583</v>
      </c>
      <c r="K97" s="160">
        <f t="shared" si="42"/>
        <v>-1238</v>
      </c>
      <c r="L97" s="160">
        <f t="shared" si="43"/>
        <v>1318</v>
      </c>
      <c r="M97" s="161">
        <f t="shared" si="40"/>
        <v>3.6837725699061133E-3</v>
      </c>
    </row>
    <row r="98" spans="2:13" x14ac:dyDescent="0.25">
      <c r="B98" s="163" t="s">
        <v>115</v>
      </c>
      <c r="C98" s="164">
        <v>194</v>
      </c>
      <c r="D98" s="164">
        <v>1389</v>
      </c>
      <c r="E98" s="164">
        <v>1721</v>
      </c>
      <c r="F98" s="164">
        <v>2001</v>
      </c>
      <c r="G98" s="164">
        <v>1690</v>
      </c>
      <c r="H98" s="164">
        <v>1622</v>
      </c>
      <c r="I98" s="179">
        <f t="shared" ref="I98:I105" si="44">IFERROR(H98/G98-1,"-")</f>
        <v>-4.0236686390532572E-2</v>
      </c>
      <c r="J98" s="165">
        <f t="shared" si="41"/>
        <v>0.16774658027357803</v>
      </c>
      <c r="K98" s="164">
        <f t="shared" si="42"/>
        <v>-68</v>
      </c>
      <c r="L98" s="164">
        <f t="shared" si="43"/>
        <v>233</v>
      </c>
      <c r="M98" s="165">
        <f t="shared" si="40"/>
        <v>5.1593809760709056E-4</v>
      </c>
    </row>
    <row r="99" spans="2:13" x14ac:dyDescent="0.25">
      <c r="B99" s="163" t="s">
        <v>118</v>
      </c>
      <c r="C99" s="164">
        <v>779</v>
      </c>
      <c r="D99" s="164">
        <v>1979</v>
      </c>
      <c r="E99" s="164">
        <v>2132</v>
      </c>
      <c r="F99" s="164">
        <v>2613</v>
      </c>
      <c r="G99" s="164">
        <v>2297</v>
      </c>
      <c r="H99" s="164">
        <v>1995</v>
      </c>
      <c r="I99" s="179">
        <f t="shared" si="44"/>
        <v>-0.13147583804962992</v>
      </c>
      <c r="J99" s="165">
        <f t="shared" si="41"/>
        <v>8.0848913592723726E-3</v>
      </c>
      <c r="K99" s="164">
        <f t="shared" si="42"/>
        <v>-302</v>
      </c>
      <c r="L99" s="164">
        <f t="shared" si="43"/>
        <v>16</v>
      </c>
      <c r="M99" s="165">
        <f t="shared" si="40"/>
        <v>6.3458477480033641E-4</v>
      </c>
    </row>
    <row r="100" spans="2:13" x14ac:dyDescent="0.25">
      <c r="B100" s="163" t="s">
        <v>121</v>
      </c>
      <c r="C100" s="164">
        <v>2064</v>
      </c>
      <c r="D100" s="164">
        <v>1979</v>
      </c>
      <c r="E100" s="164">
        <v>2303</v>
      </c>
      <c r="F100" s="164">
        <v>2266</v>
      </c>
      <c r="G100" s="164">
        <v>2173</v>
      </c>
      <c r="H100" s="164">
        <v>2119</v>
      </c>
      <c r="I100" s="179">
        <f t="shared" si="44"/>
        <v>-2.4850437183617125E-2</v>
      </c>
      <c r="J100" s="165">
        <f t="shared" si="41"/>
        <v>7.0742799393633149E-2</v>
      </c>
      <c r="K100" s="164">
        <f t="shared" si="42"/>
        <v>-54</v>
      </c>
      <c r="L100" s="164">
        <f t="shared" si="43"/>
        <v>140</v>
      </c>
      <c r="M100" s="165">
        <f t="shared" si="40"/>
        <v>6.7402763799594633E-4</v>
      </c>
    </row>
    <row r="101" spans="2:13" x14ac:dyDescent="0.25">
      <c r="B101" s="163" t="s">
        <v>128</v>
      </c>
      <c r="C101" s="164">
        <v>99</v>
      </c>
      <c r="D101" s="164">
        <v>714</v>
      </c>
      <c r="E101" s="164">
        <v>569</v>
      </c>
      <c r="F101" s="164">
        <v>627</v>
      </c>
      <c r="G101" s="164">
        <v>622</v>
      </c>
      <c r="H101" s="164">
        <v>590</v>
      </c>
      <c r="I101" s="179">
        <f t="shared" si="44"/>
        <v>-5.144694533762062E-2</v>
      </c>
      <c r="J101" s="165">
        <f t="shared" si="41"/>
        <v>-0.1736694677871149</v>
      </c>
      <c r="K101" s="164">
        <f t="shared" si="42"/>
        <v>-32</v>
      </c>
      <c r="L101" s="164">
        <f t="shared" si="43"/>
        <v>-124</v>
      </c>
      <c r="M101" s="165">
        <f t="shared" si="40"/>
        <v>1.8767168778556316E-4</v>
      </c>
    </row>
    <row r="102" spans="2:13" x14ac:dyDescent="0.25">
      <c r="B102" s="163" t="s">
        <v>124</v>
      </c>
      <c r="C102" s="164">
        <v>197</v>
      </c>
      <c r="D102" s="164">
        <v>434</v>
      </c>
      <c r="E102" s="164">
        <v>336</v>
      </c>
      <c r="F102" s="164">
        <v>539</v>
      </c>
      <c r="G102" s="164">
        <v>523</v>
      </c>
      <c r="H102" s="164">
        <v>491</v>
      </c>
      <c r="I102" s="179">
        <f t="shared" si="44"/>
        <v>-6.1185468451242842E-2</v>
      </c>
      <c r="J102" s="165">
        <f t="shared" si="41"/>
        <v>0.13133640552995396</v>
      </c>
      <c r="K102" s="164">
        <f t="shared" si="42"/>
        <v>-32</v>
      </c>
      <c r="L102" s="164">
        <f t="shared" si="43"/>
        <v>57</v>
      </c>
      <c r="M102" s="165">
        <f t="shared" si="40"/>
        <v>1.5618101475035849E-4</v>
      </c>
    </row>
    <row r="103" spans="2:13" x14ac:dyDescent="0.25">
      <c r="B103" s="163" t="s">
        <v>133</v>
      </c>
      <c r="C103" s="164">
        <v>19</v>
      </c>
      <c r="D103" s="164">
        <v>190</v>
      </c>
      <c r="E103" s="164">
        <v>96</v>
      </c>
      <c r="F103" s="164">
        <v>161</v>
      </c>
      <c r="G103" s="164">
        <v>153</v>
      </c>
      <c r="H103" s="164">
        <v>123</v>
      </c>
      <c r="I103" s="179">
        <f t="shared" si="44"/>
        <v>-0.19607843137254899</v>
      </c>
      <c r="J103" s="165">
        <f t="shared" si="41"/>
        <v>-0.35263157894736841</v>
      </c>
      <c r="K103" s="164">
        <f t="shared" si="42"/>
        <v>-30</v>
      </c>
      <c r="L103" s="164">
        <f t="shared" si="43"/>
        <v>-67</v>
      </c>
      <c r="M103" s="165">
        <f t="shared" si="40"/>
        <v>3.9124775589193672E-5</v>
      </c>
    </row>
    <row r="104" spans="2:13" x14ac:dyDescent="0.25">
      <c r="B104" s="163" t="s">
        <v>136</v>
      </c>
      <c r="C104" s="164">
        <v>44</v>
      </c>
      <c r="D104" s="164">
        <v>103</v>
      </c>
      <c r="E104" s="164">
        <v>164</v>
      </c>
      <c r="F104" s="164">
        <v>267</v>
      </c>
      <c r="G104" s="164">
        <v>149</v>
      </c>
      <c r="H104" s="164">
        <v>115</v>
      </c>
      <c r="I104" s="179">
        <f t="shared" si="44"/>
        <v>-0.22818791946308725</v>
      </c>
      <c r="J104" s="165">
        <f t="shared" si="41"/>
        <v>0.11650485436893199</v>
      </c>
      <c r="K104" s="164">
        <f t="shared" si="42"/>
        <v>-34</v>
      </c>
      <c r="L104" s="164">
        <f t="shared" si="43"/>
        <v>12</v>
      </c>
      <c r="M104" s="165">
        <f t="shared" si="40"/>
        <v>3.6580074737864002E-5</v>
      </c>
    </row>
    <row r="105" spans="2:13" x14ac:dyDescent="0.25">
      <c r="B105" s="168" t="s">
        <v>150</v>
      </c>
      <c r="C105" s="169">
        <f t="shared" ref="C105:H105" si="45">C97-SUM(C98:C104)</f>
        <v>1792</v>
      </c>
      <c r="D105" s="169">
        <f t="shared" si="45"/>
        <v>3475</v>
      </c>
      <c r="E105" s="169">
        <f t="shared" si="45"/>
        <v>4596</v>
      </c>
      <c r="F105" s="169">
        <f t="shared" si="45"/>
        <v>4974</v>
      </c>
      <c r="G105" s="169">
        <f t="shared" si="45"/>
        <v>5212</v>
      </c>
      <c r="H105" s="169">
        <f t="shared" si="45"/>
        <v>4526</v>
      </c>
      <c r="I105" s="180">
        <f t="shared" si="44"/>
        <v>-0.13161933998465081</v>
      </c>
      <c r="J105" s="170">
        <f t="shared" si="41"/>
        <v>0.30244604316546764</v>
      </c>
      <c r="K105" s="169">
        <f>H105-G105</f>
        <v>-686</v>
      </c>
      <c r="L105" s="169">
        <f t="shared" si="43"/>
        <v>1051</v>
      </c>
      <c r="M105" s="170">
        <f t="shared" si="40"/>
        <v>1.4396645066397607E-3</v>
      </c>
    </row>
    <row r="106" spans="2:13" x14ac:dyDescent="0.25">
      <c r="B106" s="155" t="s">
        <v>52</v>
      </c>
      <c r="C106" s="153"/>
      <c r="D106" s="153"/>
      <c r="E106" s="153"/>
      <c r="F106" s="153"/>
      <c r="G106" s="153"/>
      <c r="H106" s="153"/>
      <c r="I106" s="154"/>
      <c r="J106" s="154"/>
      <c r="K106" s="154"/>
      <c r="L106" s="153"/>
      <c r="M106" s="153"/>
    </row>
    <row r="107" spans="2:13" x14ac:dyDescent="0.25">
      <c r="B107" s="156" t="s">
        <v>73</v>
      </c>
      <c r="C107" s="176">
        <v>43336</v>
      </c>
      <c r="D107" s="176">
        <v>107595</v>
      </c>
      <c r="E107" s="176">
        <v>148504</v>
      </c>
      <c r="F107" s="176">
        <v>138865</v>
      </c>
      <c r="G107" s="176">
        <v>151159</v>
      </c>
      <c r="H107" s="176">
        <v>132836</v>
      </c>
      <c r="I107" s="177">
        <f>IFERROR(H107/G107-1,"-")</f>
        <v>-0.12121673205035755</v>
      </c>
      <c r="J107" s="177">
        <f>IFERROR(H107/D107-1,"-")</f>
        <v>0.23459268553371437</v>
      </c>
      <c r="K107" s="176">
        <f>H107-G107</f>
        <v>-18323</v>
      </c>
      <c r="L107" s="176">
        <f>H107-D107</f>
        <v>25241</v>
      </c>
      <c r="M107" s="177">
        <f t="shared" ref="M107:M119" si="46">H107/H$9</f>
        <v>4.2253485285903503E-2</v>
      </c>
    </row>
    <row r="108" spans="2:13" x14ac:dyDescent="0.25">
      <c r="B108" s="159" t="s">
        <v>102</v>
      </c>
      <c r="C108" s="160">
        <v>25544</v>
      </c>
      <c r="D108" s="160">
        <v>24458</v>
      </c>
      <c r="E108" s="160">
        <v>31500</v>
      </c>
      <c r="F108" s="160">
        <v>28196</v>
      </c>
      <c r="G108" s="160">
        <v>31750</v>
      </c>
      <c r="H108" s="160">
        <v>25425</v>
      </c>
      <c r="I108" s="178">
        <f>IFERROR(H108/G108-1,"-")</f>
        <v>-0.1992125984251969</v>
      </c>
      <c r="J108" s="161">
        <f t="shared" ref="J108:J119" si="47">IFERROR(H108/D108-1,"-")</f>
        <v>3.9537165753536607E-2</v>
      </c>
      <c r="K108" s="160">
        <f t="shared" ref="K108:K118" si="48">H108-G108</f>
        <v>-6325</v>
      </c>
      <c r="L108" s="160">
        <f t="shared" ref="L108:L119" si="49">H108-D108</f>
        <v>967</v>
      </c>
      <c r="M108" s="161">
        <f t="shared" si="46"/>
        <v>8.0873773931321065E-3</v>
      </c>
    </row>
    <row r="109" spans="2:13" x14ac:dyDescent="0.25">
      <c r="B109" s="163" t="s">
        <v>108</v>
      </c>
      <c r="C109" s="164">
        <v>16373</v>
      </c>
      <c r="D109" s="164">
        <v>8840</v>
      </c>
      <c r="E109" s="164">
        <v>12945</v>
      </c>
      <c r="F109" s="164">
        <v>8706</v>
      </c>
      <c r="G109" s="164">
        <v>11329</v>
      </c>
      <c r="H109" s="164">
        <v>14660</v>
      </c>
      <c r="I109" s="179">
        <f>IFERROR(H109/G109-1,"-")</f>
        <v>0.29402418571806876</v>
      </c>
      <c r="J109" s="165">
        <f t="shared" si="47"/>
        <v>0.658371040723982</v>
      </c>
      <c r="K109" s="164">
        <f t="shared" si="48"/>
        <v>3331</v>
      </c>
      <c r="L109" s="164">
        <f t="shared" si="49"/>
        <v>5820</v>
      </c>
      <c r="M109" s="165">
        <f t="shared" si="46"/>
        <v>4.6631643100616196E-3</v>
      </c>
    </row>
    <row r="110" spans="2:13" x14ac:dyDescent="0.25">
      <c r="B110" s="163" t="s">
        <v>105</v>
      </c>
      <c r="C110" s="164">
        <v>9171</v>
      </c>
      <c r="D110" s="164">
        <v>15618</v>
      </c>
      <c r="E110" s="164">
        <v>18555</v>
      </c>
      <c r="F110" s="164">
        <v>19490</v>
      </c>
      <c r="G110" s="164">
        <v>20421</v>
      </c>
      <c r="H110" s="164">
        <v>10765</v>
      </c>
      <c r="I110" s="179">
        <f>IFERROR(H110/G110-1,"-")</f>
        <v>-0.47284657950149356</v>
      </c>
      <c r="J110" s="165">
        <f t="shared" si="47"/>
        <v>-0.31073120758099626</v>
      </c>
      <c r="K110" s="164">
        <f t="shared" si="48"/>
        <v>-9656</v>
      </c>
      <c r="L110" s="164">
        <f t="shared" si="49"/>
        <v>-4853</v>
      </c>
      <c r="M110" s="165">
        <f t="shared" si="46"/>
        <v>3.4242130830704869E-3</v>
      </c>
    </row>
    <row r="111" spans="2:13" x14ac:dyDescent="0.25">
      <c r="B111" s="159" t="s">
        <v>112</v>
      </c>
      <c r="C111" s="160">
        <v>17792</v>
      </c>
      <c r="D111" s="160">
        <v>83137</v>
      </c>
      <c r="E111" s="160">
        <v>117004</v>
      </c>
      <c r="F111" s="160">
        <v>110669</v>
      </c>
      <c r="G111" s="160">
        <v>119409</v>
      </c>
      <c r="H111" s="160">
        <v>107411</v>
      </c>
      <c r="I111" s="178">
        <f>IFERROR(H111/G111-1,"-")</f>
        <v>-0.10047818841125877</v>
      </c>
      <c r="J111" s="161">
        <f t="shared" si="47"/>
        <v>0.29197589520911271</v>
      </c>
      <c r="K111" s="160">
        <f t="shared" si="48"/>
        <v>-11998</v>
      </c>
      <c r="L111" s="160">
        <f t="shared" si="49"/>
        <v>24274</v>
      </c>
      <c r="M111" s="161">
        <f t="shared" si="46"/>
        <v>3.4166107892771393E-2</v>
      </c>
    </row>
    <row r="112" spans="2:13" x14ac:dyDescent="0.25">
      <c r="B112" s="163" t="s">
        <v>115</v>
      </c>
      <c r="C112" s="164">
        <v>2735</v>
      </c>
      <c r="D112" s="164">
        <v>48464</v>
      </c>
      <c r="E112" s="164">
        <v>75563</v>
      </c>
      <c r="F112" s="164">
        <v>67792</v>
      </c>
      <c r="G112" s="164">
        <v>70653</v>
      </c>
      <c r="H112" s="164">
        <v>66673</v>
      </c>
      <c r="I112" s="179">
        <f t="shared" ref="I112:I119" si="50">IFERROR(H112/G112-1,"-")</f>
        <v>-5.6331649045334276E-2</v>
      </c>
      <c r="J112" s="165">
        <f t="shared" si="47"/>
        <v>0.37572218553978209</v>
      </c>
      <c r="K112" s="164">
        <f t="shared" si="48"/>
        <v>-3980</v>
      </c>
      <c r="L112" s="164">
        <f t="shared" si="49"/>
        <v>18209</v>
      </c>
      <c r="M112" s="165">
        <f t="shared" si="46"/>
        <v>2.1207854982587884E-2</v>
      </c>
    </row>
    <row r="113" spans="2:13" x14ac:dyDescent="0.25">
      <c r="B113" s="163" t="s">
        <v>118</v>
      </c>
      <c r="C113" s="164">
        <v>4176</v>
      </c>
      <c r="D113" s="164">
        <v>3868</v>
      </c>
      <c r="E113" s="164">
        <v>5363</v>
      </c>
      <c r="F113" s="164">
        <v>4954</v>
      </c>
      <c r="G113" s="164">
        <v>5835</v>
      </c>
      <c r="H113" s="164">
        <v>5189</v>
      </c>
      <c r="I113" s="179">
        <f t="shared" si="50"/>
        <v>-0.11071122536418165</v>
      </c>
      <c r="J113" s="165">
        <f t="shared" si="47"/>
        <v>0.34152016546018604</v>
      </c>
      <c r="K113" s="164">
        <f t="shared" si="48"/>
        <v>-646</v>
      </c>
      <c r="L113" s="164">
        <f t="shared" si="49"/>
        <v>1321</v>
      </c>
      <c r="M113" s="165">
        <f t="shared" si="46"/>
        <v>1.6505565896937071E-3</v>
      </c>
    </row>
    <row r="114" spans="2:13" x14ac:dyDescent="0.25">
      <c r="B114" s="163" t="s">
        <v>121</v>
      </c>
      <c r="C114" s="164">
        <v>3382</v>
      </c>
      <c r="D114" s="164">
        <v>5029</v>
      </c>
      <c r="E114" s="164">
        <v>9203</v>
      </c>
      <c r="F114" s="164">
        <v>7511</v>
      </c>
      <c r="G114" s="164">
        <v>9372</v>
      </c>
      <c r="H114" s="164">
        <v>8323</v>
      </c>
      <c r="I114" s="179">
        <f t="shared" si="50"/>
        <v>-0.11192915066154507</v>
      </c>
      <c r="J114" s="165">
        <f t="shared" si="47"/>
        <v>0.65500099423344604</v>
      </c>
      <c r="K114" s="164">
        <f t="shared" si="48"/>
        <v>-1049</v>
      </c>
      <c r="L114" s="164">
        <f t="shared" si="49"/>
        <v>3294</v>
      </c>
      <c r="M114" s="165">
        <f t="shared" si="46"/>
        <v>2.6474431482021053E-3</v>
      </c>
    </row>
    <row r="115" spans="2:13" x14ac:dyDescent="0.25">
      <c r="B115" s="163" t="s">
        <v>128</v>
      </c>
      <c r="C115" s="164">
        <v>1156</v>
      </c>
      <c r="D115" s="164">
        <v>3931</v>
      </c>
      <c r="E115" s="164">
        <v>3495</v>
      </c>
      <c r="F115" s="164">
        <v>3811</v>
      </c>
      <c r="G115" s="164">
        <v>4114</v>
      </c>
      <c r="H115" s="164">
        <v>2226</v>
      </c>
      <c r="I115" s="179">
        <f t="shared" si="50"/>
        <v>-0.45892075838599899</v>
      </c>
      <c r="J115" s="165">
        <f t="shared" si="47"/>
        <v>-0.43373187484100739</v>
      </c>
      <c r="K115" s="164">
        <f t="shared" si="48"/>
        <v>-1888</v>
      </c>
      <c r="L115" s="164">
        <f t="shared" si="49"/>
        <v>-1705</v>
      </c>
      <c r="M115" s="165">
        <f t="shared" si="46"/>
        <v>7.0806301188248066E-4</v>
      </c>
    </row>
    <row r="116" spans="2:13" x14ac:dyDescent="0.25">
      <c r="B116" s="163" t="s">
        <v>124</v>
      </c>
      <c r="C116" s="164">
        <v>1565</v>
      </c>
      <c r="D116" s="164">
        <v>2948</v>
      </c>
      <c r="E116" s="164">
        <v>3386</v>
      </c>
      <c r="F116" s="164">
        <v>2969</v>
      </c>
      <c r="G116" s="164">
        <v>3015</v>
      </c>
      <c r="H116" s="164">
        <v>1894</v>
      </c>
      <c r="I116" s="179">
        <f t="shared" si="50"/>
        <v>-0.37180762852404647</v>
      </c>
      <c r="J116" s="165">
        <f t="shared" si="47"/>
        <v>-0.3575305291723202</v>
      </c>
      <c r="K116" s="164">
        <f t="shared" si="48"/>
        <v>-1121</v>
      </c>
      <c r="L116" s="164">
        <f t="shared" si="49"/>
        <v>-1054</v>
      </c>
      <c r="M116" s="165">
        <f t="shared" si="46"/>
        <v>6.0245792655229933E-4</v>
      </c>
    </row>
    <row r="117" spans="2:13" x14ac:dyDescent="0.25">
      <c r="B117" s="163" t="s">
        <v>133</v>
      </c>
      <c r="C117" s="164">
        <v>40</v>
      </c>
      <c r="D117" s="164">
        <v>495</v>
      </c>
      <c r="E117" s="164">
        <v>853</v>
      </c>
      <c r="F117" s="164">
        <v>894</v>
      </c>
      <c r="G117" s="164">
        <v>877</v>
      </c>
      <c r="H117" s="164">
        <v>931</v>
      </c>
      <c r="I117" s="179">
        <f t="shared" si="50"/>
        <v>6.1573546180159644E-2</v>
      </c>
      <c r="J117" s="165">
        <f t="shared" si="47"/>
        <v>0.88080808080808071</v>
      </c>
      <c r="K117" s="164">
        <f t="shared" si="48"/>
        <v>54</v>
      </c>
      <c r="L117" s="164">
        <f t="shared" si="49"/>
        <v>436</v>
      </c>
      <c r="M117" s="165">
        <f t="shared" si="46"/>
        <v>2.9613956157349035E-4</v>
      </c>
    </row>
    <row r="118" spans="2:13" x14ac:dyDescent="0.25">
      <c r="B118" s="163" t="s">
        <v>136</v>
      </c>
      <c r="C118" s="164">
        <v>21</v>
      </c>
      <c r="D118" s="164">
        <v>708</v>
      </c>
      <c r="E118" s="164">
        <v>455</v>
      </c>
      <c r="F118" s="164">
        <v>1131</v>
      </c>
      <c r="G118" s="164">
        <v>735</v>
      </c>
      <c r="H118" s="164">
        <v>876</v>
      </c>
      <c r="I118" s="179">
        <f t="shared" si="50"/>
        <v>0.19183673469387763</v>
      </c>
      <c r="J118" s="165">
        <f t="shared" si="47"/>
        <v>0.23728813559322037</v>
      </c>
      <c r="K118" s="164">
        <f t="shared" si="48"/>
        <v>141</v>
      </c>
      <c r="L118" s="164">
        <f t="shared" si="49"/>
        <v>168</v>
      </c>
      <c r="M118" s="165">
        <f t="shared" si="46"/>
        <v>2.7864474322059882E-4</v>
      </c>
    </row>
    <row r="119" spans="2:13" x14ac:dyDescent="0.25">
      <c r="B119" s="168" t="s">
        <v>150</v>
      </c>
      <c r="C119" s="169">
        <f t="shared" ref="C119:H119" si="51">C111-SUM(C112:C118)</f>
        <v>4717</v>
      </c>
      <c r="D119" s="169">
        <f t="shared" si="51"/>
        <v>17694</v>
      </c>
      <c r="E119" s="169">
        <f t="shared" si="51"/>
        <v>18686</v>
      </c>
      <c r="F119" s="169">
        <f t="shared" si="51"/>
        <v>21607</v>
      </c>
      <c r="G119" s="169">
        <f t="shared" si="51"/>
        <v>24808</v>
      </c>
      <c r="H119" s="169">
        <f t="shared" si="51"/>
        <v>21299</v>
      </c>
      <c r="I119" s="180">
        <f t="shared" si="50"/>
        <v>-0.14144630764269595</v>
      </c>
      <c r="J119" s="170">
        <f t="shared" si="47"/>
        <v>0.20374138125918395</v>
      </c>
      <c r="K119" s="169">
        <f>H119-G119</f>
        <v>-3509</v>
      </c>
      <c r="L119" s="169">
        <f t="shared" si="49"/>
        <v>3605</v>
      </c>
      <c r="M119" s="170">
        <f t="shared" si="46"/>
        <v>6.7749479290588298E-3</v>
      </c>
    </row>
    <row r="120" spans="2:13" x14ac:dyDescent="0.25">
      <c r="B120" s="155" t="s">
        <v>53</v>
      </c>
      <c r="C120" s="153"/>
      <c r="D120" s="153"/>
      <c r="E120" s="153"/>
      <c r="F120" s="153"/>
      <c r="G120" s="153"/>
      <c r="H120" s="153"/>
      <c r="I120" s="154"/>
      <c r="J120" s="154"/>
      <c r="K120" s="154"/>
      <c r="L120" s="153"/>
      <c r="M120" s="153"/>
    </row>
    <row r="121" spans="2:13" x14ac:dyDescent="0.25">
      <c r="B121" s="156" t="s">
        <v>73</v>
      </c>
      <c r="C121" s="176">
        <v>73201</v>
      </c>
      <c r="D121" s="176">
        <v>122504</v>
      </c>
      <c r="E121" s="176">
        <v>144321</v>
      </c>
      <c r="F121" s="176">
        <v>146578</v>
      </c>
      <c r="G121" s="176">
        <v>164634</v>
      </c>
      <c r="H121" s="176">
        <v>168537</v>
      </c>
      <c r="I121" s="177">
        <f>IFERROR(H121/G121-1,"-")</f>
        <v>2.3707132184117574E-2</v>
      </c>
      <c r="J121" s="177">
        <f>IFERROR(H121/D121-1,"-")</f>
        <v>0.37576732188336703</v>
      </c>
      <c r="K121" s="176">
        <f>H121-G121</f>
        <v>3903</v>
      </c>
      <c r="L121" s="176">
        <f>H121-D121</f>
        <v>46033</v>
      </c>
      <c r="M121" s="177">
        <f t="shared" ref="M121:M133" si="52">H121/H$9</f>
        <v>5.3609530922568573E-2</v>
      </c>
    </row>
    <row r="122" spans="2:13" x14ac:dyDescent="0.25">
      <c r="B122" s="159" t="s">
        <v>102</v>
      </c>
      <c r="C122" s="160">
        <v>48582</v>
      </c>
      <c r="D122" s="160">
        <v>75501</v>
      </c>
      <c r="E122" s="160">
        <v>88976</v>
      </c>
      <c r="F122" s="160">
        <v>91656</v>
      </c>
      <c r="G122" s="160">
        <v>105634</v>
      </c>
      <c r="H122" s="160">
        <v>105943</v>
      </c>
      <c r="I122" s="178">
        <f>IFERROR(H122/G122-1,"-")</f>
        <v>2.9251945396369106E-3</v>
      </c>
      <c r="J122" s="161">
        <f t="shared" ref="J122:J133" si="53">IFERROR(H122/D122-1,"-")</f>
        <v>0.40319995761645533</v>
      </c>
      <c r="K122" s="160">
        <f t="shared" ref="K122:K132" si="54">H122-G122</f>
        <v>309</v>
      </c>
      <c r="L122" s="160">
        <f t="shared" ref="L122:L133" si="55">H122-D122</f>
        <v>30442</v>
      </c>
      <c r="M122" s="161">
        <f t="shared" si="52"/>
        <v>3.3699155286552401E-2</v>
      </c>
    </row>
    <row r="123" spans="2:13" x14ac:dyDescent="0.25">
      <c r="B123" s="163" t="s">
        <v>108</v>
      </c>
      <c r="C123" s="164">
        <v>25464</v>
      </c>
      <c r="D123" s="164">
        <v>38799</v>
      </c>
      <c r="E123" s="164">
        <v>40952</v>
      </c>
      <c r="F123" s="164">
        <v>43382</v>
      </c>
      <c r="G123" s="164">
        <v>55226</v>
      </c>
      <c r="H123" s="164">
        <v>55216</v>
      </c>
      <c r="I123" s="179">
        <f>IFERROR(H123/G123-1,"-")</f>
        <v>-1.8107413174950349E-4</v>
      </c>
      <c r="J123" s="165">
        <f t="shared" si="53"/>
        <v>0.42312946209953872</v>
      </c>
      <c r="K123" s="164">
        <f t="shared" si="54"/>
        <v>-10</v>
      </c>
      <c r="L123" s="164">
        <f t="shared" si="55"/>
        <v>16417</v>
      </c>
      <c r="M123" s="165">
        <f t="shared" si="52"/>
        <v>1.756352527587738E-2</v>
      </c>
    </row>
    <row r="124" spans="2:13" x14ac:dyDescent="0.25">
      <c r="B124" s="163" t="s">
        <v>105</v>
      </c>
      <c r="C124" s="164">
        <v>23118</v>
      </c>
      <c r="D124" s="164">
        <v>36702</v>
      </c>
      <c r="E124" s="164">
        <v>48024</v>
      </c>
      <c r="F124" s="164">
        <v>48274</v>
      </c>
      <c r="G124" s="164">
        <v>50408</v>
      </c>
      <c r="H124" s="164">
        <v>50727</v>
      </c>
      <c r="I124" s="179">
        <f>IFERROR(H124/G124-1,"-")</f>
        <v>6.328360577686043E-3</v>
      </c>
      <c r="J124" s="165">
        <f t="shared" si="53"/>
        <v>0.38213176393657022</v>
      </c>
      <c r="K124" s="164">
        <f t="shared" si="54"/>
        <v>319</v>
      </c>
      <c r="L124" s="164">
        <f t="shared" si="55"/>
        <v>14025</v>
      </c>
      <c r="M124" s="165">
        <f t="shared" si="52"/>
        <v>1.6135630010675021E-2</v>
      </c>
    </row>
    <row r="125" spans="2:13" x14ac:dyDescent="0.25">
      <c r="B125" s="159" t="s">
        <v>112</v>
      </c>
      <c r="C125" s="160">
        <v>24619</v>
      </c>
      <c r="D125" s="160">
        <v>47003</v>
      </c>
      <c r="E125" s="160">
        <v>55345</v>
      </c>
      <c r="F125" s="160">
        <v>54922</v>
      </c>
      <c r="G125" s="160">
        <v>59000</v>
      </c>
      <c r="H125" s="160">
        <v>62594</v>
      </c>
      <c r="I125" s="178">
        <f>IFERROR(H125/G125-1,"-")</f>
        <v>6.0915254237288163E-2</v>
      </c>
      <c r="J125" s="161">
        <f t="shared" si="53"/>
        <v>0.33170223177244007</v>
      </c>
      <c r="K125" s="160">
        <f t="shared" si="54"/>
        <v>3594</v>
      </c>
      <c r="L125" s="160">
        <f t="shared" si="55"/>
        <v>15591</v>
      </c>
      <c r="M125" s="161">
        <f t="shared" si="52"/>
        <v>1.9910375636016168E-2</v>
      </c>
    </row>
    <row r="126" spans="2:13" x14ac:dyDescent="0.25">
      <c r="B126" s="163" t="s">
        <v>115</v>
      </c>
      <c r="C126" s="164">
        <v>789</v>
      </c>
      <c r="D126" s="164">
        <v>4796</v>
      </c>
      <c r="E126" s="164">
        <v>6703</v>
      </c>
      <c r="F126" s="164">
        <v>6665</v>
      </c>
      <c r="G126" s="164">
        <v>6109</v>
      </c>
      <c r="H126" s="164">
        <v>5857</v>
      </c>
      <c r="I126" s="179">
        <f t="shared" ref="I126:I133" si="56">IFERROR(H126/G126-1,"-")</f>
        <v>-4.1250613848420326E-2</v>
      </c>
      <c r="J126" s="165">
        <f t="shared" si="53"/>
        <v>0.22122602168473726</v>
      </c>
      <c r="K126" s="164">
        <f t="shared" si="54"/>
        <v>-252</v>
      </c>
      <c r="L126" s="164">
        <f t="shared" si="55"/>
        <v>1061</v>
      </c>
      <c r="M126" s="165">
        <f t="shared" si="52"/>
        <v>1.8630391107797345E-3</v>
      </c>
    </row>
    <row r="127" spans="2:13" x14ac:dyDescent="0.25">
      <c r="B127" s="163" t="s">
        <v>118</v>
      </c>
      <c r="C127" s="164">
        <v>2583</v>
      </c>
      <c r="D127" s="164">
        <v>5107</v>
      </c>
      <c r="E127" s="164">
        <v>8112</v>
      </c>
      <c r="F127" s="164">
        <v>7676</v>
      </c>
      <c r="G127" s="164">
        <v>8533</v>
      </c>
      <c r="H127" s="164">
        <v>9137</v>
      </c>
      <c r="I127" s="179">
        <f t="shared" si="56"/>
        <v>7.0784015000586065E-2</v>
      </c>
      <c r="J127" s="165">
        <f t="shared" si="53"/>
        <v>0.78911298218131987</v>
      </c>
      <c r="K127" s="164">
        <f t="shared" si="54"/>
        <v>604</v>
      </c>
      <c r="L127" s="164">
        <f t="shared" si="55"/>
        <v>4030</v>
      </c>
      <c r="M127" s="165">
        <f t="shared" si="52"/>
        <v>2.9063664598248991E-3</v>
      </c>
    </row>
    <row r="128" spans="2:13" x14ac:dyDescent="0.25">
      <c r="B128" s="163" t="s">
        <v>121</v>
      </c>
      <c r="C128" s="164">
        <v>3475</v>
      </c>
      <c r="D128" s="164">
        <v>4441</v>
      </c>
      <c r="E128" s="164">
        <v>4979</v>
      </c>
      <c r="F128" s="164">
        <v>4602</v>
      </c>
      <c r="G128" s="164">
        <v>5028</v>
      </c>
      <c r="H128" s="164">
        <v>5094</v>
      </c>
      <c r="I128" s="179">
        <f t="shared" si="56"/>
        <v>1.3126491646778149E-2</v>
      </c>
      <c r="J128" s="165">
        <f t="shared" si="53"/>
        <v>0.14703895519027244</v>
      </c>
      <c r="K128" s="164">
        <f t="shared" si="54"/>
        <v>66</v>
      </c>
      <c r="L128" s="164">
        <f t="shared" si="55"/>
        <v>653</v>
      </c>
      <c r="M128" s="165">
        <f t="shared" si="52"/>
        <v>1.6203382670841673E-3</v>
      </c>
    </row>
    <row r="129" spans="2:13" x14ac:dyDescent="0.25">
      <c r="B129" s="163" t="s">
        <v>128</v>
      </c>
      <c r="C129" s="164">
        <v>444</v>
      </c>
      <c r="D129" s="164">
        <v>1275</v>
      </c>
      <c r="E129" s="164">
        <v>1516</v>
      </c>
      <c r="F129" s="164">
        <v>1395</v>
      </c>
      <c r="G129" s="164">
        <v>1505</v>
      </c>
      <c r="H129" s="164">
        <v>1751</v>
      </c>
      <c r="I129" s="179">
        <f t="shared" si="56"/>
        <v>0.16345514950166118</v>
      </c>
      <c r="J129" s="165">
        <f t="shared" si="53"/>
        <v>0.37333333333333329</v>
      </c>
      <c r="K129" s="164">
        <f t="shared" si="54"/>
        <v>246</v>
      </c>
      <c r="L129" s="164">
        <f t="shared" si="55"/>
        <v>476</v>
      </c>
      <c r="M129" s="165">
        <f t="shared" si="52"/>
        <v>5.5697139883478146E-4</v>
      </c>
    </row>
    <row r="130" spans="2:13" x14ac:dyDescent="0.25">
      <c r="B130" s="163" t="s">
        <v>124</v>
      </c>
      <c r="C130" s="164">
        <v>388</v>
      </c>
      <c r="D130" s="164">
        <v>986</v>
      </c>
      <c r="E130" s="164">
        <v>1076</v>
      </c>
      <c r="F130" s="164">
        <v>1142</v>
      </c>
      <c r="G130" s="164">
        <v>1313</v>
      </c>
      <c r="H130" s="164">
        <v>1338</v>
      </c>
      <c r="I130" s="179">
        <f t="shared" si="56"/>
        <v>1.9040365575019091E-2</v>
      </c>
      <c r="J130" s="165">
        <f t="shared" si="53"/>
        <v>0.35699797160243407</v>
      </c>
      <c r="K130" s="164">
        <f t="shared" si="54"/>
        <v>25</v>
      </c>
      <c r="L130" s="164">
        <f t="shared" si="55"/>
        <v>352</v>
      </c>
      <c r="M130" s="165">
        <f t="shared" si="52"/>
        <v>4.2560121738488728E-4</v>
      </c>
    </row>
    <row r="131" spans="2:13" x14ac:dyDescent="0.25">
      <c r="B131" s="163" t="s">
        <v>133</v>
      </c>
      <c r="C131" s="164">
        <v>61</v>
      </c>
      <c r="D131" s="164">
        <v>602</v>
      </c>
      <c r="E131" s="164">
        <v>801</v>
      </c>
      <c r="F131" s="164">
        <v>904</v>
      </c>
      <c r="G131" s="164">
        <v>707</v>
      </c>
      <c r="H131" s="164">
        <v>527</v>
      </c>
      <c r="I131" s="179">
        <f t="shared" si="56"/>
        <v>-0.25459688826025462</v>
      </c>
      <c r="J131" s="165">
        <f t="shared" si="53"/>
        <v>-0.12458471760797341</v>
      </c>
      <c r="K131" s="164">
        <f t="shared" si="54"/>
        <v>-180</v>
      </c>
      <c r="L131" s="164">
        <f t="shared" si="55"/>
        <v>-75</v>
      </c>
      <c r="M131" s="165">
        <f t="shared" si="52"/>
        <v>1.67632168581342E-4</v>
      </c>
    </row>
    <row r="132" spans="2:13" x14ac:dyDescent="0.25">
      <c r="B132" s="163" t="s">
        <v>136</v>
      </c>
      <c r="C132" s="164">
        <v>166</v>
      </c>
      <c r="D132" s="164">
        <v>1056</v>
      </c>
      <c r="E132" s="164">
        <v>1493</v>
      </c>
      <c r="F132" s="164">
        <v>1374</v>
      </c>
      <c r="G132" s="164">
        <v>1418</v>
      </c>
      <c r="H132" s="164">
        <v>1273</v>
      </c>
      <c r="I132" s="179">
        <f t="shared" si="56"/>
        <v>-0.10225669957686878</v>
      </c>
      <c r="J132" s="165">
        <f t="shared" si="53"/>
        <v>0.20549242424242431</v>
      </c>
      <c r="K132" s="164">
        <f t="shared" si="54"/>
        <v>-145</v>
      </c>
      <c r="L132" s="164">
        <f t="shared" si="55"/>
        <v>217</v>
      </c>
      <c r="M132" s="165">
        <f t="shared" si="52"/>
        <v>4.0492552296783369E-4</v>
      </c>
    </row>
    <row r="133" spans="2:13" x14ac:dyDescent="0.25">
      <c r="B133" s="168" t="s">
        <v>150</v>
      </c>
      <c r="C133" s="169">
        <f t="shared" ref="C133:H133" si="57">C125-SUM(C126:C132)</f>
        <v>16713</v>
      </c>
      <c r="D133" s="169">
        <f t="shared" si="57"/>
        <v>28740</v>
      </c>
      <c r="E133" s="169">
        <f t="shared" si="57"/>
        <v>30665</v>
      </c>
      <c r="F133" s="169">
        <f t="shared" si="57"/>
        <v>31164</v>
      </c>
      <c r="G133" s="169">
        <f t="shared" si="57"/>
        <v>34387</v>
      </c>
      <c r="H133" s="169">
        <f t="shared" si="57"/>
        <v>37617</v>
      </c>
      <c r="I133" s="180">
        <f t="shared" si="56"/>
        <v>9.3930845959228737E-2</v>
      </c>
      <c r="J133" s="170">
        <f t="shared" si="53"/>
        <v>0.30887265135699371</v>
      </c>
      <c r="K133" s="169">
        <f>H133-G133</f>
        <v>3230</v>
      </c>
      <c r="L133" s="169">
        <f t="shared" si="55"/>
        <v>8877</v>
      </c>
      <c r="M133" s="170">
        <f t="shared" si="52"/>
        <v>1.1965501490558524E-2</v>
      </c>
    </row>
    <row r="134" spans="2:13" x14ac:dyDescent="0.25">
      <c r="B134" s="155" t="s">
        <v>54</v>
      </c>
      <c r="C134" s="153"/>
      <c r="D134" s="153"/>
      <c r="E134" s="153"/>
      <c r="F134" s="153"/>
      <c r="G134" s="153"/>
      <c r="H134" s="153"/>
      <c r="I134" s="154"/>
      <c r="J134" s="154"/>
      <c r="K134" s="154"/>
      <c r="L134" s="153"/>
      <c r="M134" s="153"/>
    </row>
    <row r="135" spans="2:13" x14ac:dyDescent="0.25">
      <c r="B135" s="156" t="s">
        <v>73</v>
      </c>
      <c r="C135" s="176">
        <v>44078</v>
      </c>
      <c r="D135" s="176">
        <v>145637</v>
      </c>
      <c r="E135" s="176">
        <v>159812</v>
      </c>
      <c r="F135" s="176">
        <v>167855</v>
      </c>
      <c r="G135" s="176">
        <v>164017</v>
      </c>
      <c r="H135" s="176">
        <v>168720</v>
      </c>
      <c r="I135" s="177">
        <f>IFERROR(H135/G135-1,"-")</f>
        <v>2.8673856978240098E-2</v>
      </c>
      <c r="J135" s="177">
        <f>IFERROR(H135/D135-1,"-")</f>
        <v>0.15849681056324982</v>
      </c>
      <c r="K135" s="176">
        <f>H135-G135</f>
        <v>4703</v>
      </c>
      <c r="L135" s="176">
        <f>H135-D135</f>
        <v>23083</v>
      </c>
      <c r="M135" s="177">
        <f t="shared" ref="M135:M147" si="58">H135/H$9</f>
        <v>5.3667740954542735E-2</v>
      </c>
    </row>
    <row r="136" spans="2:13" x14ac:dyDescent="0.25">
      <c r="B136" s="159" t="s">
        <v>102</v>
      </c>
      <c r="C136" s="160">
        <v>23814</v>
      </c>
      <c r="D136" s="160">
        <v>15534</v>
      </c>
      <c r="E136" s="160">
        <v>20487</v>
      </c>
      <c r="F136" s="160">
        <v>15171</v>
      </c>
      <c r="G136" s="160">
        <v>15669</v>
      </c>
      <c r="H136" s="160">
        <v>23186</v>
      </c>
      <c r="I136" s="178">
        <f>IFERROR(H136/G136-1,"-")</f>
        <v>0.47973706043780706</v>
      </c>
      <c r="J136" s="161">
        <f t="shared" ref="J136:J147" si="59">IFERROR(H136/D136-1,"-")</f>
        <v>0.49259688425389458</v>
      </c>
      <c r="K136" s="160">
        <f t="shared" ref="K136:K146" si="60">H136-G136</f>
        <v>7517</v>
      </c>
      <c r="L136" s="160">
        <f t="shared" ref="L136:L147" si="61">H136-D136</f>
        <v>7652</v>
      </c>
      <c r="M136" s="161">
        <f t="shared" si="58"/>
        <v>7.3751792423662156E-3</v>
      </c>
    </row>
    <row r="137" spans="2:13" x14ac:dyDescent="0.25">
      <c r="B137" s="163" t="s">
        <v>108</v>
      </c>
      <c r="C137" s="164">
        <v>18780</v>
      </c>
      <c r="D137" s="164">
        <v>10551</v>
      </c>
      <c r="E137" s="164">
        <v>13999</v>
      </c>
      <c r="F137" s="164">
        <v>10024</v>
      </c>
      <c r="G137" s="164">
        <v>9241</v>
      </c>
      <c r="H137" s="164">
        <v>14672</v>
      </c>
      <c r="I137" s="179">
        <f>IFERROR(H137/G137-1,"-")</f>
        <v>0.58770695812141538</v>
      </c>
      <c r="J137" s="165">
        <f t="shared" si="59"/>
        <v>0.39057909202919161</v>
      </c>
      <c r="K137" s="164">
        <f t="shared" si="60"/>
        <v>5431</v>
      </c>
      <c r="L137" s="164">
        <f t="shared" si="61"/>
        <v>4121</v>
      </c>
      <c r="M137" s="165">
        <f t="shared" si="58"/>
        <v>4.6669813613386141E-3</v>
      </c>
    </row>
    <row r="138" spans="2:13" x14ac:dyDescent="0.25">
      <c r="B138" s="163" t="s">
        <v>105</v>
      </c>
      <c r="C138" s="164">
        <v>5034</v>
      </c>
      <c r="D138" s="164">
        <v>4983</v>
      </c>
      <c r="E138" s="164">
        <v>6488</v>
      </c>
      <c r="F138" s="164">
        <v>5147</v>
      </c>
      <c r="G138" s="164">
        <v>6428</v>
      </c>
      <c r="H138" s="164">
        <v>8514</v>
      </c>
      <c r="I138" s="179">
        <f>IFERROR(H138/G138-1,"-")</f>
        <v>0.32451773490976965</v>
      </c>
      <c r="J138" s="165">
        <f t="shared" si="59"/>
        <v>0.70860927152317887</v>
      </c>
      <c r="K138" s="164">
        <f t="shared" si="60"/>
        <v>2086</v>
      </c>
      <c r="L138" s="164">
        <f t="shared" si="61"/>
        <v>3531</v>
      </c>
      <c r="M138" s="165">
        <f t="shared" si="58"/>
        <v>2.708197881027601E-3</v>
      </c>
    </row>
    <row r="139" spans="2:13" x14ac:dyDescent="0.25">
      <c r="B139" s="159" t="s">
        <v>112</v>
      </c>
      <c r="C139" s="160">
        <v>20264</v>
      </c>
      <c r="D139" s="160">
        <v>130103</v>
      </c>
      <c r="E139" s="160">
        <v>139325</v>
      </c>
      <c r="F139" s="160">
        <v>152684</v>
      </c>
      <c r="G139" s="160">
        <v>148348</v>
      </c>
      <c r="H139" s="160">
        <v>145534</v>
      </c>
      <c r="I139" s="178">
        <f>IFERROR(H139/G139-1,"-")</f>
        <v>-1.8968910939143102E-2</v>
      </c>
      <c r="J139" s="161">
        <f t="shared" si="59"/>
        <v>0.11860602753203242</v>
      </c>
      <c r="K139" s="160">
        <f t="shared" si="60"/>
        <v>-2814</v>
      </c>
      <c r="L139" s="160">
        <f t="shared" si="61"/>
        <v>15431</v>
      </c>
      <c r="M139" s="161">
        <f t="shared" si="58"/>
        <v>4.6292561712176522E-2</v>
      </c>
    </row>
    <row r="140" spans="2:13" x14ac:dyDescent="0.25">
      <c r="B140" s="163" t="s">
        <v>115</v>
      </c>
      <c r="C140" s="164">
        <v>1117</v>
      </c>
      <c r="D140" s="164">
        <v>53836</v>
      </c>
      <c r="E140" s="164">
        <v>57618</v>
      </c>
      <c r="F140" s="164">
        <v>67356</v>
      </c>
      <c r="G140" s="164">
        <v>67740</v>
      </c>
      <c r="H140" s="164">
        <v>62618</v>
      </c>
      <c r="I140" s="179">
        <f t="shared" ref="I140:I147" si="62">IFERROR(H140/G140-1,"-")</f>
        <v>-7.5612636551520507E-2</v>
      </c>
      <c r="J140" s="165">
        <f t="shared" si="59"/>
        <v>0.16312504643732817</v>
      </c>
      <c r="K140" s="164">
        <f t="shared" si="60"/>
        <v>-5122</v>
      </c>
      <c r="L140" s="164">
        <f t="shared" si="61"/>
        <v>8782</v>
      </c>
      <c r="M140" s="165">
        <f t="shared" si="58"/>
        <v>1.9918009738570157E-2</v>
      </c>
    </row>
    <row r="141" spans="2:13" x14ac:dyDescent="0.25">
      <c r="B141" s="163" t="s">
        <v>118</v>
      </c>
      <c r="C141" s="164">
        <v>2184</v>
      </c>
      <c r="D141" s="164">
        <v>8757</v>
      </c>
      <c r="E141" s="164">
        <v>11767</v>
      </c>
      <c r="F141" s="164">
        <v>12882</v>
      </c>
      <c r="G141" s="164">
        <v>12031</v>
      </c>
      <c r="H141" s="164">
        <v>12046</v>
      </c>
      <c r="I141" s="179">
        <f t="shared" si="62"/>
        <v>1.2467791538526285E-3</v>
      </c>
      <c r="J141" s="165">
        <f t="shared" si="59"/>
        <v>0.37558524608884314</v>
      </c>
      <c r="K141" s="164">
        <f t="shared" si="60"/>
        <v>15</v>
      </c>
      <c r="L141" s="164">
        <f t="shared" si="61"/>
        <v>3289</v>
      </c>
      <c r="M141" s="165">
        <f t="shared" si="58"/>
        <v>3.8316833068896502E-3</v>
      </c>
    </row>
    <row r="142" spans="2:13" x14ac:dyDescent="0.25">
      <c r="B142" s="163" t="s">
        <v>121</v>
      </c>
      <c r="C142" s="164">
        <v>5600</v>
      </c>
      <c r="D142" s="164">
        <v>16478</v>
      </c>
      <c r="E142" s="164">
        <v>14947</v>
      </c>
      <c r="F142" s="164">
        <v>15263</v>
      </c>
      <c r="G142" s="164">
        <v>13618</v>
      </c>
      <c r="H142" s="164">
        <v>14046</v>
      </c>
      <c r="I142" s="179">
        <f t="shared" si="62"/>
        <v>3.1428991041268839E-2</v>
      </c>
      <c r="J142" s="165">
        <f t="shared" si="59"/>
        <v>-0.14759072702997933</v>
      </c>
      <c r="K142" s="164">
        <f t="shared" si="60"/>
        <v>428</v>
      </c>
      <c r="L142" s="164">
        <f t="shared" si="61"/>
        <v>-2432</v>
      </c>
      <c r="M142" s="165">
        <f t="shared" si="58"/>
        <v>4.4678585197220674E-3</v>
      </c>
    </row>
    <row r="143" spans="2:13" x14ac:dyDescent="0.25">
      <c r="B143" s="163" t="s">
        <v>128</v>
      </c>
      <c r="C143" s="164">
        <v>364</v>
      </c>
      <c r="D143" s="164">
        <v>5965</v>
      </c>
      <c r="E143" s="164">
        <v>5042</v>
      </c>
      <c r="F143" s="164">
        <v>3799</v>
      </c>
      <c r="G143" s="164">
        <v>3573</v>
      </c>
      <c r="H143" s="164">
        <v>2799</v>
      </c>
      <c r="I143" s="179">
        <f t="shared" si="62"/>
        <v>-0.21662468513853905</v>
      </c>
      <c r="J143" s="165">
        <f t="shared" si="59"/>
        <v>-0.53076278290025147</v>
      </c>
      <c r="K143" s="164">
        <f t="shared" si="60"/>
        <v>-774</v>
      </c>
      <c r="L143" s="164">
        <f t="shared" si="61"/>
        <v>-3166</v>
      </c>
      <c r="M143" s="165">
        <f t="shared" si="58"/>
        <v>8.903272103589682E-4</v>
      </c>
    </row>
    <row r="144" spans="2:13" x14ac:dyDescent="0.25">
      <c r="B144" s="163" t="s">
        <v>124</v>
      </c>
      <c r="C144" s="164">
        <v>654</v>
      </c>
      <c r="D144" s="164">
        <v>2707</v>
      </c>
      <c r="E144" s="164">
        <v>3075</v>
      </c>
      <c r="F144" s="164">
        <v>3617</v>
      </c>
      <c r="G144" s="164">
        <v>2696</v>
      </c>
      <c r="H144" s="164">
        <v>2874</v>
      </c>
      <c r="I144" s="179">
        <f t="shared" si="62"/>
        <v>6.6023738872403648E-2</v>
      </c>
      <c r="J144" s="165">
        <f t="shared" si="59"/>
        <v>6.1691909863317296E-2</v>
      </c>
      <c r="K144" s="164">
        <f t="shared" si="60"/>
        <v>178</v>
      </c>
      <c r="L144" s="164">
        <f t="shared" si="61"/>
        <v>167</v>
      </c>
      <c r="M144" s="165">
        <f t="shared" si="58"/>
        <v>9.1418378084018391E-4</v>
      </c>
    </row>
    <row r="145" spans="2:13" x14ac:dyDescent="0.25">
      <c r="B145" s="163" t="s">
        <v>133</v>
      </c>
      <c r="C145" s="164">
        <v>64</v>
      </c>
      <c r="D145" s="164">
        <v>1870</v>
      </c>
      <c r="E145" s="164">
        <v>2247</v>
      </c>
      <c r="F145" s="164">
        <v>1967</v>
      </c>
      <c r="G145" s="164">
        <v>2305</v>
      </c>
      <c r="H145" s="164">
        <v>1865</v>
      </c>
      <c r="I145" s="179">
        <f t="shared" si="62"/>
        <v>-0.19088937093275493</v>
      </c>
      <c r="J145" s="165">
        <f t="shared" si="59"/>
        <v>-2.673796791443861E-3</v>
      </c>
      <c r="K145" s="164">
        <f t="shared" si="60"/>
        <v>-440</v>
      </c>
      <c r="L145" s="164">
        <f t="shared" si="61"/>
        <v>-5</v>
      </c>
      <c r="M145" s="165">
        <f t="shared" si="58"/>
        <v>5.9323338596622922E-4</v>
      </c>
    </row>
    <row r="146" spans="2:13" x14ac:dyDescent="0.25">
      <c r="B146" s="163" t="s">
        <v>136</v>
      </c>
      <c r="C146" s="164">
        <v>53</v>
      </c>
      <c r="D146" s="164">
        <v>917</v>
      </c>
      <c r="E146" s="164">
        <v>1599</v>
      </c>
      <c r="F146" s="164">
        <v>1585</v>
      </c>
      <c r="G146" s="164">
        <v>1118</v>
      </c>
      <c r="H146" s="164">
        <v>1110</v>
      </c>
      <c r="I146" s="179">
        <f t="shared" si="62"/>
        <v>-7.1556350626118537E-3</v>
      </c>
      <c r="J146" s="165">
        <f t="shared" si="59"/>
        <v>0.21046892039258447</v>
      </c>
      <c r="K146" s="164">
        <f t="shared" si="60"/>
        <v>-8</v>
      </c>
      <c r="L146" s="164">
        <f t="shared" si="61"/>
        <v>193</v>
      </c>
      <c r="M146" s="165">
        <f t="shared" si="58"/>
        <v>3.530772431219917E-4</v>
      </c>
    </row>
    <row r="147" spans="2:13" x14ac:dyDescent="0.25">
      <c r="B147" s="168" t="s">
        <v>150</v>
      </c>
      <c r="C147" s="169">
        <f t="shared" ref="C147:H147" si="63">C139-SUM(C140:C146)</f>
        <v>10228</v>
      </c>
      <c r="D147" s="169">
        <f t="shared" si="63"/>
        <v>39573</v>
      </c>
      <c r="E147" s="169">
        <f t="shared" si="63"/>
        <v>43030</v>
      </c>
      <c r="F147" s="169">
        <f t="shared" si="63"/>
        <v>46215</v>
      </c>
      <c r="G147" s="169">
        <f t="shared" si="63"/>
        <v>45267</v>
      </c>
      <c r="H147" s="169">
        <f t="shared" si="63"/>
        <v>48176</v>
      </c>
      <c r="I147" s="180">
        <f t="shared" si="62"/>
        <v>6.4263149755892757E-2</v>
      </c>
      <c r="J147" s="170">
        <f t="shared" si="59"/>
        <v>0.21739569908776191</v>
      </c>
      <c r="K147" s="169">
        <f>H147-G147</f>
        <v>2909</v>
      </c>
      <c r="L147" s="169">
        <f t="shared" si="61"/>
        <v>8603</v>
      </c>
      <c r="M147" s="170">
        <f t="shared" si="58"/>
        <v>1.5324188526707272E-2</v>
      </c>
    </row>
    <row r="148" spans="2:13" x14ac:dyDescent="0.25">
      <c r="B148" s="155" t="s">
        <v>55</v>
      </c>
      <c r="C148" s="153"/>
      <c r="D148" s="153"/>
      <c r="E148" s="153"/>
      <c r="F148" s="153"/>
      <c r="G148" s="153"/>
      <c r="H148" s="153"/>
      <c r="I148" s="154"/>
      <c r="J148" s="154"/>
      <c r="K148" s="154"/>
      <c r="L148" s="153"/>
      <c r="M148" s="153"/>
    </row>
    <row r="149" spans="2:13" x14ac:dyDescent="0.25">
      <c r="B149" s="156" t="s">
        <v>73</v>
      </c>
      <c r="C149" s="176">
        <v>27544</v>
      </c>
      <c r="D149" s="176">
        <v>61917</v>
      </c>
      <c r="E149" s="176">
        <v>68654</v>
      </c>
      <c r="F149" s="176">
        <v>73539</v>
      </c>
      <c r="G149" s="176">
        <v>70595</v>
      </c>
      <c r="H149" s="176">
        <v>60919</v>
      </c>
      <c r="I149" s="177">
        <f>IFERROR(H149/G149-1,"-")</f>
        <v>-0.13706353141157301</v>
      </c>
      <c r="J149" s="177">
        <f>IFERROR(H149/D149-1,"-")</f>
        <v>-1.6118351987337909E-2</v>
      </c>
      <c r="K149" s="176">
        <f>H149-G149</f>
        <v>-9676</v>
      </c>
      <c r="L149" s="176">
        <f>H149-D149</f>
        <v>-998</v>
      </c>
      <c r="M149" s="177">
        <f t="shared" ref="M149:M161" si="64">H149/H$9</f>
        <v>1.9377578895269018E-2</v>
      </c>
    </row>
    <row r="150" spans="2:13" x14ac:dyDescent="0.25">
      <c r="B150" s="159" t="s">
        <v>102</v>
      </c>
      <c r="C150" s="160">
        <v>18768</v>
      </c>
      <c r="D150" s="160">
        <v>32941</v>
      </c>
      <c r="E150" s="160">
        <v>34832</v>
      </c>
      <c r="F150" s="160">
        <v>33137</v>
      </c>
      <c r="G150" s="160">
        <v>29905</v>
      </c>
      <c r="H150" s="160">
        <v>21920</v>
      </c>
      <c r="I150" s="178">
        <f>IFERROR(H150/G150-1,"-")</f>
        <v>-0.26701220531683667</v>
      </c>
      <c r="J150" s="161">
        <f t="shared" ref="J150:J161" si="65">IFERROR(H150/D150-1,"-")</f>
        <v>-0.33456786375641301</v>
      </c>
      <c r="K150" s="160">
        <f t="shared" ref="K150:K160" si="66">H150-G150</f>
        <v>-7985</v>
      </c>
      <c r="L150" s="160">
        <f t="shared" ref="L150:L161" si="67">H150-D150</f>
        <v>-11021</v>
      </c>
      <c r="M150" s="161">
        <f t="shared" si="64"/>
        <v>6.9724803326432954E-3</v>
      </c>
    </row>
    <row r="151" spans="2:13" x14ac:dyDescent="0.25">
      <c r="B151" s="163" t="s">
        <v>108</v>
      </c>
      <c r="C151" s="164">
        <v>15882</v>
      </c>
      <c r="D151" s="164">
        <v>23300</v>
      </c>
      <c r="E151" s="164">
        <v>24686</v>
      </c>
      <c r="F151" s="164">
        <v>22622</v>
      </c>
      <c r="G151" s="164">
        <v>18740</v>
      </c>
      <c r="H151" s="164">
        <v>9402</v>
      </c>
      <c r="I151" s="179">
        <f>IFERROR(H151/G151-1,"-")</f>
        <v>-0.49829242262540019</v>
      </c>
      <c r="J151" s="165">
        <f t="shared" si="65"/>
        <v>-0.59648068669527898</v>
      </c>
      <c r="K151" s="164">
        <f t="shared" si="66"/>
        <v>-9338</v>
      </c>
      <c r="L151" s="164">
        <f t="shared" si="67"/>
        <v>-13898</v>
      </c>
      <c r="M151" s="165">
        <f t="shared" si="64"/>
        <v>2.9906596755251945E-3</v>
      </c>
    </row>
    <row r="152" spans="2:13" x14ac:dyDescent="0.25">
      <c r="B152" s="163" t="s">
        <v>105</v>
      </c>
      <c r="C152" s="164">
        <v>2886</v>
      </c>
      <c r="D152" s="164">
        <v>9641</v>
      </c>
      <c r="E152" s="164">
        <v>10146</v>
      </c>
      <c r="F152" s="164">
        <v>10515</v>
      </c>
      <c r="G152" s="164">
        <v>11165</v>
      </c>
      <c r="H152" s="164">
        <v>12518</v>
      </c>
      <c r="I152" s="179">
        <f>IFERROR(H152/G152-1,"-")</f>
        <v>0.12118226600985227</v>
      </c>
      <c r="J152" s="165">
        <f t="shared" si="65"/>
        <v>0.29841302769422251</v>
      </c>
      <c r="K152" s="164">
        <f t="shared" si="66"/>
        <v>1353</v>
      </c>
      <c r="L152" s="164">
        <f t="shared" si="67"/>
        <v>2877</v>
      </c>
      <c r="M152" s="165">
        <f t="shared" si="64"/>
        <v>3.9818206571181009E-3</v>
      </c>
    </row>
    <row r="153" spans="2:13" x14ac:dyDescent="0.25">
      <c r="B153" s="159" t="s">
        <v>112</v>
      </c>
      <c r="C153" s="160">
        <v>8776</v>
      </c>
      <c r="D153" s="160">
        <v>28976</v>
      </c>
      <c r="E153" s="160">
        <v>33822</v>
      </c>
      <c r="F153" s="160">
        <v>40402</v>
      </c>
      <c r="G153" s="160">
        <v>40690</v>
      </c>
      <c r="H153" s="160">
        <v>38999</v>
      </c>
      <c r="I153" s="178">
        <f>IFERROR(H153/G153-1,"-")</f>
        <v>-4.1558122388793306E-2</v>
      </c>
      <c r="J153" s="161">
        <f t="shared" si="65"/>
        <v>0.34590695748205413</v>
      </c>
      <c r="K153" s="160">
        <f t="shared" si="66"/>
        <v>-1691</v>
      </c>
      <c r="L153" s="160">
        <f t="shared" si="67"/>
        <v>10023</v>
      </c>
      <c r="M153" s="161">
        <f t="shared" si="64"/>
        <v>1.2405098562625724E-2</v>
      </c>
    </row>
    <row r="154" spans="2:13" x14ac:dyDescent="0.25">
      <c r="B154" s="163" t="s">
        <v>115</v>
      </c>
      <c r="C154" s="164">
        <v>388</v>
      </c>
      <c r="D154" s="164">
        <v>10516</v>
      </c>
      <c r="E154" s="164">
        <v>10757</v>
      </c>
      <c r="F154" s="164">
        <v>12042</v>
      </c>
      <c r="G154" s="164">
        <v>10398</v>
      </c>
      <c r="H154" s="164">
        <v>11330</v>
      </c>
      <c r="I154" s="179">
        <f t="shared" ref="I154:I161" si="68">IFERROR(H154/G154-1,"-")</f>
        <v>8.9632621658011224E-2</v>
      </c>
      <c r="J154" s="165">
        <f t="shared" si="65"/>
        <v>7.7405857740585837E-2</v>
      </c>
      <c r="K154" s="164">
        <f t="shared" si="66"/>
        <v>932</v>
      </c>
      <c r="L154" s="164">
        <f t="shared" si="67"/>
        <v>814</v>
      </c>
      <c r="M154" s="165">
        <f t="shared" si="64"/>
        <v>3.603932580695645E-3</v>
      </c>
    </row>
    <row r="155" spans="2:13" x14ac:dyDescent="0.25">
      <c r="B155" s="163" t="s">
        <v>118</v>
      </c>
      <c r="C155" s="164">
        <v>1693</v>
      </c>
      <c r="D155" s="164">
        <v>6295</v>
      </c>
      <c r="E155" s="164">
        <v>6753</v>
      </c>
      <c r="F155" s="164">
        <v>7392</v>
      </c>
      <c r="G155" s="164">
        <v>7162</v>
      </c>
      <c r="H155" s="164">
        <v>6952</v>
      </c>
      <c r="I155" s="179">
        <f t="shared" si="68"/>
        <v>-2.9321418598156956E-2</v>
      </c>
      <c r="J155" s="165">
        <f t="shared" si="65"/>
        <v>0.10436854646544869</v>
      </c>
      <c r="K155" s="164">
        <f t="shared" si="66"/>
        <v>-210</v>
      </c>
      <c r="L155" s="164">
        <f t="shared" si="67"/>
        <v>657</v>
      </c>
      <c r="M155" s="165">
        <f t="shared" si="64"/>
        <v>2.2113450398054831E-3</v>
      </c>
    </row>
    <row r="156" spans="2:13" x14ac:dyDescent="0.25">
      <c r="B156" s="163" t="s">
        <v>121</v>
      </c>
      <c r="C156" s="164">
        <v>2444</v>
      </c>
      <c r="D156" s="164">
        <v>3313</v>
      </c>
      <c r="E156" s="164">
        <v>5233</v>
      </c>
      <c r="F156" s="164">
        <v>6589</v>
      </c>
      <c r="G156" s="164">
        <v>9570</v>
      </c>
      <c r="H156" s="164">
        <v>8006</v>
      </c>
      <c r="I156" s="179">
        <f t="shared" si="68"/>
        <v>-0.16342737722048062</v>
      </c>
      <c r="J156" s="165">
        <f t="shared" si="65"/>
        <v>1.4165408994868698</v>
      </c>
      <c r="K156" s="164">
        <f t="shared" si="66"/>
        <v>-1564</v>
      </c>
      <c r="L156" s="164">
        <f t="shared" si="67"/>
        <v>4693</v>
      </c>
      <c r="M156" s="165">
        <f t="shared" si="64"/>
        <v>2.5466093769681672E-3</v>
      </c>
    </row>
    <row r="157" spans="2:13" x14ac:dyDescent="0.25">
      <c r="B157" s="163" t="s">
        <v>128</v>
      </c>
      <c r="C157" s="164">
        <v>274</v>
      </c>
      <c r="D157" s="164">
        <v>920</v>
      </c>
      <c r="E157" s="164">
        <v>1078</v>
      </c>
      <c r="F157" s="164">
        <v>1631</v>
      </c>
      <c r="G157" s="164">
        <v>1499</v>
      </c>
      <c r="H157" s="164">
        <v>1392</v>
      </c>
      <c r="I157" s="179">
        <f t="shared" si="68"/>
        <v>-7.138092061374246E-2</v>
      </c>
      <c r="J157" s="165">
        <f t="shared" si="65"/>
        <v>0.51304347826086949</v>
      </c>
      <c r="K157" s="164">
        <f t="shared" si="66"/>
        <v>-107</v>
      </c>
      <c r="L157" s="164">
        <f t="shared" si="67"/>
        <v>472</v>
      </c>
      <c r="M157" s="165">
        <f t="shared" si="64"/>
        <v>4.4277794813136253E-4</v>
      </c>
    </row>
    <row r="158" spans="2:13" x14ac:dyDescent="0.25">
      <c r="B158" s="163" t="s">
        <v>124</v>
      </c>
      <c r="C158" s="164">
        <v>490</v>
      </c>
      <c r="D158" s="164">
        <v>1585</v>
      </c>
      <c r="E158" s="164">
        <v>1642</v>
      </c>
      <c r="F158" s="164">
        <v>1855</v>
      </c>
      <c r="G158" s="164">
        <v>1504</v>
      </c>
      <c r="H158" s="164">
        <v>1394</v>
      </c>
      <c r="I158" s="179">
        <f t="shared" si="68"/>
        <v>-7.3138297872340385E-2</v>
      </c>
      <c r="J158" s="165">
        <f t="shared" si="65"/>
        <v>-0.1205047318611987</v>
      </c>
      <c r="K158" s="164">
        <f t="shared" si="66"/>
        <v>-110</v>
      </c>
      <c r="L158" s="164">
        <f t="shared" si="67"/>
        <v>-191</v>
      </c>
      <c r="M158" s="165">
        <f t="shared" si="64"/>
        <v>4.4341412334419499E-4</v>
      </c>
    </row>
    <row r="159" spans="2:13" x14ac:dyDescent="0.25">
      <c r="B159" s="163" t="s">
        <v>133</v>
      </c>
      <c r="C159" s="164">
        <v>28</v>
      </c>
      <c r="D159" s="164">
        <v>270</v>
      </c>
      <c r="E159" s="164">
        <v>405</v>
      </c>
      <c r="F159" s="164">
        <v>284</v>
      </c>
      <c r="G159" s="164">
        <v>287</v>
      </c>
      <c r="H159" s="164">
        <v>344</v>
      </c>
      <c r="I159" s="179">
        <f t="shared" si="68"/>
        <v>0.19860627177700341</v>
      </c>
      <c r="J159" s="165">
        <f t="shared" si="65"/>
        <v>0.27407407407407414</v>
      </c>
      <c r="K159" s="164">
        <f t="shared" si="66"/>
        <v>57</v>
      </c>
      <c r="L159" s="164">
        <f t="shared" si="67"/>
        <v>74</v>
      </c>
      <c r="M159" s="165">
        <f t="shared" si="64"/>
        <v>1.094221366071758E-4</v>
      </c>
    </row>
    <row r="160" spans="2:13" x14ac:dyDescent="0.25">
      <c r="B160" s="163" t="s">
        <v>136</v>
      </c>
      <c r="C160" s="164">
        <v>68</v>
      </c>
      <c r="D160" s="164">
        <v>395</v>
      </c>
      <c r="E160" s="164">
        <v>536</v>
      </c>
      <c r="F160" s="164">
        <v>481</v>
      </c>
      <c r="G160" s="164">
        <v>380</v>
      </c>
      <c r="H160" s="164">
        <v>231</v>
      </c>
      <c r="I160" s="179">
        <f t="shared" si="68"/>
        <v>-0.39210526315789473</v>
      </c>
      <c r="J160" s="165">
        <f t="shared" si="65"/>
        <v>-0.41518987341772151</v>
      </c>
      <c r="K160" s="164">
        <f t="shared" si="66"/>
        <v>-149</v>
      </c>
      <c r="L160" s="164">
        <f t="shared" si="67"/>
        <v>-164</v>
      </c>
      <c r="M160" s="165">
        <f t="shared" si="64"/>
        <v>7.3478237082144217E-5</v>
      </c>
    </row>
    <row r="161" spans="2:13" x14ac:dyDescent="0.25">
      <c r="B161" s="168" t="s">
        <v>150</v>
      </c>
      <c r="C161" s="169">
        <f t="shared" ref="C161:H161" si="69">C153-SUM(C154:C160)</f>
        <v>3391</v>
      </c>
      <c r="D161" s="169">
        <f t="shared" si="69"/>
        <v>5682</v>
      </c>
      <c r="E161" s="169">
        <f t="shared" si="69"/>
        <v>7418</v>
      </c>
      <c r="F161" s="169">
        <f t="shared" si="69"/>
        <v>10128</v>
      </c>
      <c r="G161" s="169">
        <f t="shared" si="69"/>
        <v>9890</v>
      </c>
      <c r="H161" s="169">
        <f t="shared" si="69"/>
        <v>9350</v>
      </c>
      <c r="I161" s="180">
        <f t="shared" si="68"/>
        <v>-5.4600606673407492E-2</v>
      </c>
      <c r="J161" s="170">
        <f t="shared" si="65"/>
        <v>0.64554734248504042</v>
      </c>
      <c r="K161" s="169">
        <f>H161-G161</f>
        <v>-540</v>
      </c>
      <c r="L161" s="169">
        <f t="shared" si="67"/>
        <v>3668</v>
      </c>
      <c r="M161" s="170">
        <f t="shared" si="64"/>
        <v>2.9741191199915517E-3</v>
      </c>
    </row>
    <row r="162" spans="2:13" x14ac:dyDescent="0.25">
      <c r="C162" s="81"/>
      <c r="D162" s="81"/>
      <c r="E162" s="81"/>
      <c r="F162" s="81"/>
      <c r="G162" s="81"/>
      <c r="H162" s="81"/>
      <c r="I162" s="81"/>
    </row>
    <row r="163" spans="2:13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</row>
  </sheetData>
  <mergeCells count="3">
    <mergeCell ref="B4:J4"/>
    <mergeCell ref="C6:M6"/>
    <mergeCell ref="Q6:Y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46DB6-5BCF-4FE4-BCEE-FFAD37EB0498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8.140625" customWidth="1"/>
    <col min="14" max="14" width="116.5703125" hidden="1" customWidth="1"/>
    <col min="15" max="20" width="10.7109375" hidden="1" customWidth="1"/>
    <col min="21" max="21" width="9.5703125" hidden="1" customWidth="1"/>
    <col min="22" max="22" width="9.28515625" hidden="1" customWidth="1"/>
    <col min="23" max="23" width="12.85546875" hidden="1" customWidth="1"/>
    <col min="24" max="24" width="2.28515625" customWidth="1"/>
  </cols>
  <sheetData>
    <row r="1" spans="1:23" ht="42.75" customHeight="1" x14ac:dyDescent="0.25"/>
    <row r="4" spans="1:23" ht="42" customHeight="1" thickBot="1" x14ac:dyDescent="0.3">
      <c r="B4" s="273" t="str">
        <f>CONCATENATE("Viajeros entrados en los hoteles de Tenerife según lugar de residencia y municipio de alojamiento")</f>
        <v>Viajeros entrados en los hoteles de Tenerife según lugar de residencia y municipio de alojamiento</v>
      </c>
      <c r="C4" s="273"/>
      <c r="D4" s="273"/>
      <c r="E4" s="273"/>
      <c r="F4" s="273"/>
      <c r="G4" s="273"/>
      <c r="H4" s="273"/>
      <c r="I4" s="273"/>
      <c r="J4" s="144"/>
      <c r="K4" s="144"/>
      <c r="N4" s="143" t="s">
        <v>276</v>
      </c>
      <c r="O4" s="144"/>
      <c r="P4" s="144"/>
      <c r="Q4" s="144"/>
      <c r="R4" s="144"/>
      <c r="S4" s="144"/>
      <c r="T4" s="144"/>
      <c r="U4" s="144"/>
      <c r="V4" s="144"/>
      <c r="W4" s="144"/>
    </row>
    <row r="5" spans="1:23" ht="6" customHeight="1" x14ac:dyDescent="0.25"/>
    <row r="6" spans="1:23" ht="15.75" x14ac:dyDescent="0.25">
      <c r="B6" s="145"/>
      <c r="C6" s="307" t="s">
        <v>45</v>
      </c>
      <c r="D6" s="308"/>
      <c r="E6" s="308"/>
      <c r="F6" s="308"/>
      <c r="G6" s="308"/>
      <c r="H6" s="308"/>
      <c r="I6" s="308"/>
      <c r="J6" s="308"/>
      <c r="K6" s="308"/>
      <c r="N6" s="145"/>
      <c r="O6" s="307" t="s">
        <v>45</v>
      </c>
      <c r="P6" s="308"/>
      <c r="Q6" s="308"/>
      <c r="R6" s="308"/>
      <c r="S6" s="308"/>
      <c r="T6" s="308"/>
      <c r="U6" s="308"/>
      <c r="V6" s="308"/>
      <c r="W6" s="308"/>
    </row>
    <row r="7" spans="1:23" s="146" customFormat="1" ht="72" customHeight="1" x14ac:dyDescent="0.25">
      <c r="B7" s="147"/>
      <c r="C7" s="172" t="s">
        <v>270</v>
      </c>
      <c r="D7" s="172" t="s">
        <v>271</v>
      </c>
      <c r="E7" s="172" t="s">
        <v>272</v>
      </c>
      <c r="F7" s="172" t="s">
        <v>273</v>
      </c>
      <c r="G7" s="172" t="s">
        <v>274</v>
      </c>
      <c r="H7" s="172" t="s">
        <v>275</v>
      </c>
      <c r="I7" s="173" t="str">
        <f>CONCATENATE("var. ",RIGHT(H7,2),"/",RIGHT(G7,2))</f>
        <v>var. 26/25</v>
      </c>
      <c r="J7" s="172" t="str">
        <f>CONCATENATE("dif. ",RIGHT(H7,2),"/",RIGHT(G7,2))</f>
        <v>dif. 26/25</v>
      </c>
      <c r="K7" s="173" t="str">
        <f>CONCATENATE("Cuota s/ total lugares de residencia ",RIGHT(H7,4))</f>
        <v>Cuota s/ total lugares de residencia 2026</v>
      </c>
      <c r="N7" s="147"/>
      <c r="O7" s="172" t="s">
        <v>270</v>
      </c>
      <c r="P7" s="172" t="s">
        <v>271</v>
      </c>
      <c r="Q7" s="172" t="s">
        <v>272</v>
      </c>
      <c r="R7" s="172" t="s">
        <v>273</v>
      </c>
      <c r="S7" s="172" t="s">
        <v>274</v>
      </c>
      <c r="T7" s="172" t="s">
        <v>275</v>
      </c>
      <c r="U7" s="173" t="str">
        <f>CONCATENATE("var. ",RIGHT(T7,2),"/",RIGHT(S7,2))</f>
        <v>var. 26/25</v>
      </c>
      <c r="V7" s="172" t="str">
        <f>CONCATENATE("dif. ",RIGHT(T7,2),"/",RIGHT(S7,2))</f>
        <v>dif. 26/25</v>
      </c>
      <c r="W7" s="173" t="str">
        <f>CONCATENATE("Cuota s/ total lugares de residencia ",RIGHT(T7,4))</f>
        <v>Cuota s/ total lugares de residencia 2026</v>
      </c>
    </row>
    <row r="8" spans="1:23" x14ac:dyDescent="0.25">
      <c r="A8" s="1"/>
      <c r="B8" s="152" t="s">
        <v>45</v>
      </c>
      <c r="C8" s="153"/>
      <c r="D8" s="153"/>
      <c r="E8" s="153"/>
      <c r="F8" s="153"/>
      <c r="G8" s="153"/>
      <c r="H8" s="154"/>
      <c r="I8" s="154"/>
      <c r="J8" s="154"/>
      <c r="K8" s="153"/>
      <c r="N8" s="155" t="s">
        <v>53</v>
      </c>
      <c r="O8" s="153"/>
      <c r="P8" s="153"/>
      <c r="Q8" s="153"/>
      <c r="R8" s="153"/>
      <c r="S8" s="153"/>
      <c r="T8" s="154"/>
      <c r="U8" s="154"/>
      <c r="V8" s="154"/>
      <c r="W8" s="153"/>
    </row>
    <row r="9" spans="1:23" x14ac:dyDescent="0.25">
      <c r="A9" s="1" t="s">
        <v>101</v>
      </c>
      <c r="B9" s="156" t="s">
        <v>73</v>
      </c>
      <c r="C9" s="176">
        <f t="shared" ref="C9:H9" si="0">C10+C13</f>
        <v>578416</v>
      </c>
      <c r="D9" s="176">
        <f t="shared" si="0"/>
        <v>2111099</v>
      </c>
      <c r="E9" s="176">
        <f t="shared" si="0"/>
        <v>2351509</v>
      </c>
      <c r="F9" s="176">
        <f t="shared" si="0"/>
        <v>2475982</v>
      </c>
      <c r="G9" s="176">
        <f t="shared" si="0"/>
        <v>2430370</v>
      </c>
      <c r="H9" s="176">
        <f t="shared" si="0"/>
        <v>2438884</v>
      </c>
      <c r="I9" s="177">
        <f>IFERROR(H9/G9-1,"-")</f>
        <v>3.5031702991725755E-3</v>
      </c>
      <c r="J9" s="176">
        <f t="shared" ref="J9:J21" si="1">H9-G9</f>
        <v>8514</v>
      </c>
      <c r="K9" s="177">
        <f t="shared" ref="K9:K21" si="2">H9/H$9</f>
        <v>1</v>
      </c>
      <c r="N9" s="156" t="s">
        <v>73</v>
      </c>
      <c r="O9" s="176">
        <f t="shared" ref="O9:T9" si="3">O10+O13</f>
        <v>73201</v>
      </c>
      <c r="P9" s="176">
        <f t="shared" si="3"/>
        <v>122504</v>
      </c>
      <c r="Q9" s="176">
        <f t="shared" si="3"/>
        <v>144321</v>
      </c>
      <c r="R9" s="176">
        <f t="shared" si="3"/>
        <v>146578</v>
      </c>
      <c r="S9" s="176">
        <f t="shared" si="3"/>
        <v>164634</v>
      </c>
      <c r="T9" s="176">
        <f t="shared" si="3"/>
        <v>168537</v>
      </c>
      <c r="U9" s="177">
        <f>IFERROR(T9/S9-1,"-")</f>
        <v>2.3707132184117574E-2</v>
      </c>
      <c r="V9" s="176">
        <f>T9-S9</f>
        <v>3903</v>
      </c>
      <c r="W9" s="177">
        <f t="shared" ref="W9:W21" si="4">T9/T$9</f>
        <v>1</v>
      </c>
    </row>
    <row r="10" spans="1:23" x14ac:dyDescent="0.25">
      <c r="A10" s="162" t="s">
        <v>108</v>
      </c>
      <c r="B10" s="159" t="s">
        <v>102</v>
      </c>
      <c r="C10" s="160">
        <v>310051</v>
      </c>
      <c r="D10" s="160">
        <v>493482</v>
      </c>
      <c r="E10" s="160">
        <v>520189</v>
      </c>
      <c r="F10" s="160">
        <v>506132</v>
      </c>
      <c r="G10" s="160">
        <v>503918</v>
      </c>
      <c r="H10" s="160">
        <v>517830</v>
      </c>
      <c r="I10" s="178">
        <f>IFERROR(H10/G10-1,"-")</f>
        <v>2.7607666326664226E-2</v>
      </c>
      <c r="J10" s="159">
        <f t="shared" si="1"/>
        <v>13912</v>
      </c>
      <c r="K10" s="161">
        <f t="shared" si="2"/>
        <v>0.21232252128432513</v>
      </c>
      <c r="N10" s="159" t="s">
        <v>102</v>
      </c>
      <c r="O10" s="160">
        <v>48582</v>
      </c>
      <c r="P10" s="160">
        <v>75501</v>
      </c>
      <c r="Q10" s="160">
        <v>88976</v>
      </c>
      <c r="R10" s="160">
        <v>91656</v>
      </c>
      <c r="S10" s="160">
        <v>105634</v>
      </c>
      <c r="T10" s="160">
        <v>105943</v>
      </c>
      <c r="U10" s="178">
        <f>IFERROR(T10/S10-1,"-")</f>
        <v>2.9251945396369106E-3</v>
      </c>
      <c r="V10" s="159">
        <f t="shared" ref="V10:V20" si="5">T10-S10</f>
        <v>309</v>
      </c>
      <c r="W10" s="161">
        <f t="shared" si="4"/>
        <v>0.62860380806588467</v>
      </c>
    </row>
    <row r="11" spans="1:23" x14ac:dyDescent="0.25">
      <c r="A11" s="162" t="s">
        <v>105</v>
      </c>
      <c r="B11" s="163" t="s">
        <v>108</v>
      </c>
      <c r="C11" s="164">
        <v>173338</v>
      </c>
      <c r="D11" s="164">
        <v>199899</v>
      </c>
      <c r="E11" s="164">
        <v>204894</v>
      </c>
      <c r="F11" s="164">
        <v>195249</v>
      </c>
      <c r="G11" s="164">
        <v>189388</v>
      </c>
      <c r="H11" s="164">
        <v>215866</v>
      </c>
      <c r="I11" s="179">
        <f>IFERROR(H11/G11-1,"-")</f>
        <v>0.13980822438591667</v>
      </c>
      <c r="J11" s="163">
        <f t="shared" si="1"/>
        <v>26478</v>
      </c>
      <c r="K11" s="165">
        <f t="shared" si="2"/>
        <v>8.8510154644501335E-2</v>
      </c>
      <c r="N11" s="163" t="s">
        <v>108</v>
      </c>
      <c r="O11" s="164">
        <v>25464</v>
      </c>
      <c r="P11" s="164">
        <v>38799</v>
      </c>
      <c r="Q11" s="164">
        <v>40952</v>
      </c>
      <c r="R11" s="164">
        <v>43382</v>
      </c>
      <c r="S11" s="164">
        <v>55226</v>
      </c>
      <c r="T11" s="164">
        <v>55216</v>
      </c>
      <c r="U11" s="179">
        <f>IFERROR(T11/S11-1,"-")</f>
        <v>-1.8107413174950349E-4</v>
      </c>
      <c r="V11" s="163">
        <f t="shared" si="5"/>
        <v>-10</v>
      </c>
      <c r="W11" s="165">
        <f>T11/T$9</f>
        <v>0.32761945448180518</v>
      </c>
    </row>
    <row r="12" spans="1:23" x14ac:dyDescent="0.25">
      <c r="A12" s="1"/>
      <c r="B12" s="163" t="s">
        <v>105</v>
      </c>
      <c r="C12" s="164">
        <v>136713</v>
      </c>
      <c r="D12" s="164">
        <v>293583</v>
      </c>
      <c r="E12" s="164">
        <v>315295</v>
      </c>
      <c r="F12" s="164">
        <v>310883</v>
      </c>
      <c r="G12" s="164">
        <v>314530</v>
      </c>
      <c r="H12" s="164">
        <v>301964</v>
      </c>
      <c r="I12" s="179">
        <f>IFERROR(H12/G12-1,"-")</f>
        <v>-3.9951673926175602E-2</v>
      </c>
      <c r="J12" s="163">
        <f t="shared" si="1"/>
        <v>-12566</v>
      </c>
      <c r="K12" s="165">
        <f t="shared" si="2"/>
        <v>0.12381236663982378</v>
      </c>
      <c r="N12" s="163" t="s">
        <v>105</v>
      </c>
      <c r="O12" s="164">
        <v>23118</v>
      </c>
      <c r="P12" s="164">
        <v>36702</v>
      </c>
      <c r="Q12" s="164">
        <v>48024</v>
      </c>
      <c r="R12" s="164">
        <v>48274</v>
      </c>
      <c r="S12" s="164">
        <v>50408</v>
      </c>
      <c r="T12" s="164">
        <v>50727</v>
      </c>
      <c r="U12" s="179">
        <f>IFERROR(T12/S12-1,"-")</f>
        <v>6.328360577686043E-3</v>
      </c>
      <c r="V12" s="163">
        <f t="shared" si="5"/>
        <v>319</v>
      </c>
      <c r="W12" s="165">
        <f t="shared" si="4"/>
        <v>0.30098435358407943</v>
      </c>
    </row>
    <row r="13" spans="1:23" s="57" customFormat="1" x14ac:dyDescent="0.25">
      <c r="B13" s="159" t="s">
        <v>112</v>
      </c>
      <c r="C13" s="160">
        <v>268365</v>
      </c>
      <c r="D13" s="160">
        <v>1617617</v>
      </c>
      <c r="E13" s="160">
        <v>1831320</v>
      </c>
      <c r="F13" s="160">
        <v>1969850</v>
      </c>
      <c r="G13" s="160">
        <v>1926452</v>
      </c>
      <c r="H13" s="160">
        <v>1921054</v>
      </c>
      <c r="I13" s="178">
        <f>IFERROR(H13/G13-1,"-")</f>
        <v>-2.8020423036753117E-3</v>
      </c>
      <c r="J13" s="159">
        <f t="shared" si="1"/>
        <v>-5398</v>
      </c>
      <c r="K13" s="161">
        <f t="shared" si="2"/>
        <v>0.78767747871567484</v>
      </c>
      <c r="N13" s="159" t="s">
        <v>112</v>
      </c>
      <c r="O13" s="160">
        <v>24619</v>
      </c>
      <c r="P13" s="160">
        <v>47003</v>
      </c>
      <c r="Q13" s="160">
        <v>55345</v>
      </c>
      <c r="R13" s="160">
        <v>54922</v>
      </c>
      <c r="S13" s="160">
        <v>59000</v>
      </c>
      <c r="T13" s="160">
        <v>62594</v>
      </c>
      <c r="U13" s="178">
        <f>IFERROR(T13/S13-1,"-")</f>
        <v>6.0915254237288163E-2</v>
      </c>
      <c r="V13" s="159">
        <f t="shared" si="5"/>
        <v>3594</v>
      </c>
      <c r="W13" s="161">
        <f t="shared" si="4"/>
        <v>0.37139619193411538</v>
      </c>
    </row>
    <row r="14" spans="1:23" s="57" customFormat="1" x14ac:dyDescent="0.25">
      <c r="B14" s="163" t="s">
        <v>115</v>
      </c>
      <c r="C14" s="164">
        <v>21857</v>
      </c>
      <c r="D14" s="164">
        <v>728704</v>
      </c>
      <c r="E14" s="164">
        <v>826588</v>
      </c>
      <c r="F14" s="164">
        <v>883337</v>
      </c>
      <c r="G14" s="164">
        <v>870890</v>
      </c>
      <c r="H14" s="164">
        <v>880188</v>
      </c>
      <c r="I14" s="179">
        <f t="shared" ref="I14:I21" si="6">IFERROR(H14/G14-1,"-")</f>
        <v>1.0676434452112193E-2</v>
      </c>
      <c r="J14" s="163">
        <f t="shared" si="1"/>
        <v>9298</v>
      </c>
      <c r="K14" s="165">
        <f t="shared" si="2"/>
        <v>0.36089785328043483</v>
      </c>
      <c r="N14" s="163" t="s">
        <v>115</v>
      </c>
      <c r="O14" s="164">
        <v>789</v>
      </c>
      <c r="P14" s="164">
        <v>4796</v>
      </c>
      <c r="Q14" s="164">
        <v>6703</v>
      </c>
      <c r="R14" s="164">
        <v>6665</v>
      </c>
      <c r="S14" s="164">
        <v>6109</v>
      </c>
      <c r="T14" s="164">
        <v>5857</v>
      </c>
      <c r="U14" s="179">
        <f t="shared" ref="U14:U21" si="7">IFERROR(T14/S14-1,"-")</f>
        <v>-4.1250613848420326E-2</v>
      </c>
      <c r="V14" s="163">
        <f t="shared" si="5"/>
        <v>-252</v>
      </c>
      <c r="W14" s="165">
        <f t="shared" si="4"/>
        <v>3.4752012911111504E-2</v>
      </c>
    </row>
    <row r="15" spans="1:23" x14ac:dyDescent="0.25">
      <c r="A15" s="1"/>
      <c r="B15" s="163" t="s">
        <v>118</v>
      </c>
      <c r="C15" s="164">
        <v>47079</v>
      </c>
      <c r="D15" s="164">
        <v>184566</v>
      </c>
      <c r="E15" s="164">
        <v>216762</v>
      </c>
      <c r="F15" s="164">
        <v>225672</v>
      </c>
      <c r="G15" s="164">
        <v>217496</v>
      </c>
      <c r="H15" s="164">
        <v>205057</v>
      </c>
      <c r="I15" s="179">
        <f t="shared" si="6"/>
        <v>-5.7191856401956787E-2</v>
      </c>
      <c r="J15" s="163">
        <f t="shared" si="1"/>
        <v>-12439</v>
      </c>
      <c r="K15" s="165">
        <f t="shared" si="2"/>
        <v>8.4078209541741222E-2</v>
      </c>
      <c r="N15" s="163" t="s">
        <v>118</v>
      </c>
      <c r="O15" s="164">
        <v>2583</v>
      </c>
      <c r="P15" s="164">
        <v>5107</v>
      </c>
      <c r="Q15" s="164">
        <v>8112</v>
      </c>
      <c r="R15" s="164">
        <v>7676</v>
      </c>
      <c r="S15" s="164">
        <v>8533</v>
      </c>
      <c r="T15" s="164">
        <v>9137</v>
      </c>
      <c r="U15" s="179">
        <f t="shared" si="7"/>
        <v>7.0784015000586065E-2</v>
      </c>
      <c r="V15" s="163">
        <f t="shared" si="5"/>
        <v>604</v>
      </c>
      <c r="W15" s="165">
        <f t="shared" si="4"/>
        <v>5.4213614814551107E-2</v>
      </c>
    </row>
    <row r="16" spans="1:23" x14ac:dyDescent="0.25">
      <c r="A16" s="1"/>
      <c r="B16" s="163" t="s">
        <v>121</v>
      </c>
      <c r="C16" s="164">
        <v>44007</v>
      </c>
      <c r="D16" s="164">
        <v>92891</v>
      </c>
      <c r="E16" s="164">
        <v>103585</v>
      </c>
      <c r="F16" s="164">
        <v>113045</v>
      </c>
      <c r="G16" s="164">
        <v>106303</v>
      </c>
      <c r="H16" s="164">
        <v>110703</v>
      </c>
      <c r="I16" s="179">
        <f t="shared" si="6"/>
        <v>4.1391117842394021E-2</v>
      </c>
      <c r="J16" s="163">
        <f t="shared" si="1"/>
        <v>4400</v>
      </c>
      <c r="K16" s="165">
        <f t="shared" si="2"/>
        <v>4.5390842696905631E-2</v>
      </c>
      <c r="N16" s="163" t="s">
        <v>121</v>
      </c>
      <c r="O16" s="164">
        <v>3475</v>
      </c>
      <c r="P16" s="164">
        <v>4441</v>
      </c>
      <c r="Q16" s="164">
        <v>4979</v>
      </c>
      <c r="R16" s="164">
        <v>4602</v>
      </c>
      <c r="S16" s="164">
        <v>5028</v>
      </c>
      <c r="T16" s="164">
        <v>5094</v>
      </c>
      <c r="U16" s="179">
        <f t="shared" si="7"/>
        <v>1.3126491646778149E-2</v>
      </c>
      <c r="V16" s="163">
        <f t="shared" si="5"/>
        <v>66</v>
      </c>
      <c r="W16" s="165">
        <f t="shared" si="4"/>
        <v>3.0224817102476015E-2</v>
      </c>
    </row>
    <row r="17" spans="1:23" x14ac:dyDescent="0.25">
      <c r="A17" s="1"/>
      <c r="B17" s="163" t="s">
        <v>128</v>
      </c>
      <c r="C17" s="164">
        <v>11933</v>
      </c>
      <c r="D17" s="164">
        <v>73751</v>
      </c>
      <c r="E17" s="164">
        <v>65358</v>
      </c>
      <c r="F17" s="164">
        <v>73584</v>
      </c>
      <c r="G17" s="164">
        <v>67709</v>
      </c>
      <c r="H17" s="164">
        <v>69174</v>
      </c>
      <c r="I17" s="179">
        <f t="shared" si="6"/>
        <v>2.163671003854728E-2</v>
      </c>
      <c r="J17" s="163">
        <f t="shared" si="1"/>
        <v>1465</v>
      </c>
      <c r="K17" s="165">
        <f t="shared" si="2"/>
        <v>2.8362972572701286E-2</v>
      </c>
      <c r="N17" s="163" t="s">
        <v>128</v>
      </c>
      <c r="O17" s="164">
        <v>444</v>
      </c>
      <c r="P17" s="164">
        <v>1275</v>
      </c>
      <c r="Q17" s="164">
        <v>1516</v>
      </c>
      <c r="R17" s="164">
        <v>1395</v>
      </c>
      <c r="S17" s="164">
        <v>1505</v>
      </c>
      <c r="T17" s="164">
        <v>1751</v>
      </c>
      <c r="U17" s="179">
        <f t="shared" si="7"/>
        <v>0.16345514950166118</v>
      </c>
      <c r="V17" s="163">
        <f t="shared" si="5"/>
        <v>246</v>
      </c>
      <c r="W17" s="165">
        <f t="shared" si="4"/>
        <v>1.0389410040525226E-2</v>
      </c>
    </row>
    <row r="18" spans="1:23" x14ac:dyDescent="0.25">
      <c r="A18" s="1"/>
      <c r="B18" s="163" t="s">
        <v>124</v>
      </c>
      <c r="C18" s="164">
        <v>18875</v>
      </c>
      <c r="D18" s="164">
        <v>76451</v>
      </c>
      <c r="E18" s="164">
        <v>76533</v>
      </c>
      <c r="F18" s="164">
        <v>81393</v>
      </c>
      <c r="G18" s="164">
        <v>73430</v>
      </c>
      <c r="H18" s="164">
        <v>76274</v>
      </c>
      <c r="I18" s="179">
        <f t="shared" si="6"/>
        <v>3.8730763992918416E-2</v>
      </c>
      <c r="J18" s="163">
        <f t="shared" si="1"/>
        <v>2844</v>
      </c>
      <c r="K18" s="165">
        <f t="shared" si="2"/>
        <v>3.1274140139506433E-2</v>
      </c>
      <c r="N18" s="163" t="s">
        <v>124</v>
      </c>
      <c r="O18" s="164">
        <v>388</v>
      </c>
      <c r="P18" s="164">
        <v>986</v>
      </c>
      <c r="Q18" s="164">
        <v>1076</v>
      </c>
      <c r="R18" s="164">
        <v>1142</v>
      </c>
      <c r="S18" s="164">
        <v>1313</v>
      </c>
      <c r="T18" s="164">
        <v>1338</v>
      </c>
      <c r="U18" s="179">
        <f t="shared" si="7"/>
        <v>1.9040365575019091E-2</v>
      </c>
      <c r="V18" s="163">
        <f t="shared" si="5"/>
        <v>25</v>
      </c>
      <c r="W18" s="165">
        <f t="shared" si="4"/>
        <v>7.9389095569518866E-3</v>
      </c>
    </row>
    <row r="19" spans="1:23" x14ac:dyDescent="0.25">
      <c r="A19" s="162" t="s">
        <v>149</v>
      </c>
      <c r="B19" s="163" t="s">
        <v>133</v>
      </c>
      <c r="C19" s="164">
        <v>1064</v>
      </c>
      <c r="D19" s="164">
        <v>22861</v>
      </c>
      <c r="E19" s="164">
        <v>29074</v>
      </c>
      <c r="F19" s="164">
        <v>26289</v>
      </c>
      <c r="G19" s="164">
        <v>25191</v>
      </c>
      <c r="H19" s="164">
        <v>21691</v>
      </c>
      <c r="I19" s="179">
        <f t="shared" si="6"/>
        <v>-0.1389385097852408</v>
      </c>
      <c r="J19" s="163">
        <f t="shared" si="1"/>
        <v>-3500</v>
      </c>
      <c r="K19" s="165">
        <f t="shared" si="2"/>
        <v>8.8938219283901977E-3</v>
      </c>
      <c r="N19" s="163" t="s">
        <v>133</v>
      </c>
      <c r="O19" s="164">
        <v>61</v>
      </c>
      <c r="P19" s="164">
        <v>602</v>
      </c>
      <c r="Q19" s="164">
        <v>801</v>
      </c>
      <c r="R19" s="164">
        <v>904</v>
      </c>
      <c r="S19" s="164">
        <v>707</v>
      </c>
      <c r="T19" s="164">
        <v>527</v>
      </c>
      <c r="U19" s="179">
        <f t="shared" si="7"/>
        <v>-0.25459688826025462</v>
      </c>
      <c r="V19" s="163">
        <f t="shared" si="5"/>
        <v>-180</v>
      </c>
      <c r="W19" s="165">
        <f t="shared" si="4"/>
        <v>3.1269098180221554E-3</v>
      </c>
    </row>
    <row r="20" spans="1:23" x14ac:dyDescent="0.25">
      <c r="A20" s="167" t="s">
        <v>150</v>
      </c>
      <c r="B20" s="163" t="s">
        <v>136</v>
      </c>
      <c r="C20" s="164">
        <v>1464</v>
      </c>
      <c r="D20" s="164">
        <v>16018</v>
      </c>
      <c r="E20" s="164">
        <v>25328</v>
      </c>
      <c r="F20" s="164">
        <v>24352</v>
      </c>
      <c r="G20" s="164">
        <v>20773</v>
      </c>
      <c r="H20" s="164">
        <v>20426</v>
      </c>
      <c r="I20" s="179">
        <f t="shared" si="6"/>
        <v>-1.6704375872526822E-2</v>
      </c>
      <c r="J20" s="163">
        <f t="shared" si="1"/>
        <v>-347</v>
      </c>
      <c r="K20" s="165">
        <f t="shared" si="2"/>
        <v>8.3751420731777316E-3</v>
      </c>
      <c r="N20" s="163" t="s">
        <v>136</v>
      </c>
      <c r="O20" s="164">
        <v>166</v>
      </c>
      <c r="P20" s="164">
        <v>1056</v>
      </c>
      <c r="Q20" s="164">
        <v>1493</v>
      </c>
      <c r="R20" s="164">
        <v>1374</v>
      </c>
      <c r="S20" s="164">
        <v>1418</v>
      </c>
      <c r="T20" s="164">
        <v>1273</v>
      </c>
      <c r="U20" s="179">
        <f t="shared" si="7"/>
        <v>-0.10225669957686878</v>
      </c>
      <c r="V20" s="163">
        <f t="shared" si="5"/>
        <v>-145</v>
      </c>
      <c r="W20" s="165">
        <f t="shared" si="4"/>
        <v>7.5532375680117721E-3</v>
      </c>
    </row>
    <row r="21" spans="1:23" x14ac:dyDescent="0.25">
      <c r="B21" s="168" t="s">
        <v>150</v>
      </c>
      <c r="C21" s="169">
        <f t="shared" ref="C21:H21" si="8">C13-SUM(C14:C20)</f>
        <v>122086</v>
      </c>
      <c r="D21" s="169">
        <f t="shared" si="8"/>
        <v>422375</v>
      </c>
      <c r="E21" s="169">
        <f t="shared" si="8"/>
        <v>488092</v>
      </c>
      <c r="F21" s="169">
        <f t="shared" si="8"/>
        <v>542178</v>
      </c>
      <c r="G21" s="169">
        <f t="shared" si="8"/>
        <v>544660</v>
      </c>
      <c r="H21" s="169">
        <f t="shared" si="8"/>
        <v>537541</v>
      </c>
      <c r="I21" s="180">
        <f t="shared" si="6"/>
        <v>-1.307053941908709E-2</v>
      </c>
      <c r="J21" s="168">
        <f t="shared" si="1"/>
        <v>-7119</v>
      </c>
      <c r="K21" s="170">
        <f t="shared" si="2"/>
        <v>0.22040449648281754</v>
      </c>
      <c r="N21" s="168" t="s">
        <v>150</v>
      </c>
      <c r="O21" s="169">
        <f t="shared" ref="O21:T21" si="9">O13-SUM(O14:O20)</f>
        <v>16713</v>
      </c>
      <c r="P21" s="169">
        <f t="shared" si="9"/>
        <v>28740</v>
      </c>
      <c r="Q21" s="169">
        <f t="shared" si="9"/>
        <v>30665</v>
      </c>
      <c r="R21" s="169">
        <f t="shared" si="9"/>
        <v>31164</v>
      </c>
      <c r="S21" s="169">
        <f t="shared" si="9"/>
        <v>34387</v>
      </c>
      <c r="T21" s="169">
        <f t="shared" si="9"/>
        <v>37617</v>
      </c>
      <c r="U21" s="180">
        <f t="shared" si="7"/>
        <v>9.3930845959228737E-2</v>
      </c>
      <c r="V21" s="168">
        <f>T21-S21</f>
        <v>3230</v>
      </c>
      <c r="W21" s="170">
        <f t="shared" si="4"/>
        <v>0.2231972801224657</v>
      </c>
    </row>
    <row r="22" spans="1:23" x14ac:dyDescent="0.25">
      <c r="B22" s="155" t="s">
        <v>46</v>
      </c>
      <c r="C22" s="153"/>
      <c r="D22" s="153"/>
      <c r="E22" s="153"/>
      <c r="F22" s="153"/>
      <c r="G22" s="153"/>
      <c r="H22" s="153"/>
      <c r="I22" s="154"/>
      <c r="J22" s="154"/>
      <c r="K22" s="153"/>
    </row>
    <row r="23" spans="1:23" x14ac:dyDescent="0.25">
      <c r="B23" s="156" t="s">
        <v>73</v>
      </c>
      <c r="C23" s="176">
        <f t="shared" ref="C23:H23" si="10">C24+C27</f>
        <v>232111</v>
      </c>
      <c r="D23" s="176">
        <f t="shared" si="10"/>
        <v>852329</v>
      </c>
      <c r="E23" s="176">
        <f t="shared" si="10"/>
        <v>885220</v>
      </c>
      <c r="F23" s="176">
        <f t="shared" si="10"/>
        <v>915715</v>
      </c>
      <c r="G23" s="176">
        <f t="shared" si="10"/>
        <v>860319</v>
      </c>
      <c r="H23" s="176">
        <f t="shared" si="10"/>
        <v>874516</v>
      </c>
      <c r="I23" s="177">
        <f>IFERROR(H23/G23-1,"-")</f>
        <v>1.6502018437346999E-2</v>
      </c>
      <c r="J23" s="176">
        <f>H23-G23</f>
        <v>14197</v>
      </c>
      <c r="K23" s="177">
        <f t="shared" ref="K23:K35" si="11">H23/H$9</f>
        <v>0.35857219941579838</v>
      </c>
    </row>
    <row r="24" spans="1:23" x14ac:dyDescent="0.25">
      <c r="B24" s="159" t="s">
        <v>102</v>
      </c>
      <c r="C24" s="160">
        <v>111704</v>
      </c>
      <c r="D24" s="160">
        <v>101020</v>
      </c>
      <c r="E24" s="160">
        <v>81764</v>
      </c>
      <c r="F24" s="160">
        <v>69319</v>
      </c>
      <c r="G24" s="160">
        <v>61545</v>
      </c>
      <c r="H24" s="160">
        <v>64544</v>
      </c>
      <c r="I24" s="178">
        <f>IFERROR(H24/G24-1,"-")</f>
        <v>4.8728572589162411E-2</v>
      </c>
      <c r="J24" s="159">
        <f t="shared" ref="J24:J34" si="12">H24-G24</f>
        <v>2999</v>
      </c>
      <c r="K24" s="161">
        <f t="shared" si="11"/>
        <v>2.6464563300263564E-2</v>
      </c>
    </row>
    <row r="25" spans="1:23" x14ac:dyDescent="0.25">
      <c r="B25" s="163" t="s">
        <v>108</v>
      </c>
      <c r="C25" s="164">
        <v>60038</v>
      </c>
      <c r="D25" s="164">
        <v>42281</v>
      </c>
      <c r="E25" s="164">
        <v>32698</v>
      </c>
      <c r="F25" s="164">
        <v>24583</v>
      </c>
      <c r="G25" s="164">
        <v>27701</v>
      </c>
      <c r="H25" s="164">
        <v>30942</v>
      </c>
      <c r="I25" s="179">
        <f>IFERROR(H25/G25-1,"-")</f>
        <v>0.11699938630374351</v>
      </c>
      <c r="J25" s="163">
        <f t="shared" si="12"/>
        <v>3241</v>
      </c>
      <c r="K25" s="165">
        <f t="shared" si="11"/>
        <v>1.2686950260857015E-2</v>
      </c>
    </row>
    <row r="26" spans="1:23" x14ac:dyDescent="0.25">
      <c r="B26" s="163" t="s">
        <v>105</v>
      </c>
      <c r="C26" s="164">
        <v>51666</v>
      </c>
      <c r="D26" s="164">
        <v>58739</v>
      </c>
      <c r="E26" s="164">
        <v>49066</v>
      </c>
      <c r="F26" s="164">
        <v>44736</v>
      </c>
      <c r="G26" s="164">
        <v>33844</v>
      </c>
      <c r="H26" s="164">
        <v>33602</v>
      </c>
      <c r="I26" s="179">
        <f>IFERROR(H26/G26-1,"-")</f>
        <v>-7.1504550289563928E-3</v>
      </c>
      <c r="J26" s="163">
        <f t="shared" si="12"/>
        <v>-242</v>
      </c>
      <c r="K26" s="165">
        <f t="shared" si="11"/>
        <v>1.3777613039406549E-2</v>
      </c>
    </row>
    <row r="27" spans="1:23" x14ac:dyDescent="0.25">
      <c r="B27" s="159" t="s">
        <v>112</v>
      </c>
      <c r="C27" s="160">
        <v>120407</v>
      </c>
      <c r="D27" s="160">
        <v>751309</v>
      </c>
      <c r="E27" s="160">
        <v>803456</v>
      </c>
      <c r="F27" s="160">
        <v>846396</v>
      </c>
      <c r="G27" s="160">
        <v>798774</v>
      </c>
      <c r="H27" s="160">
        <v>809972</v>
      </c>
      <c r="I27" s="178">
        <f>IFERROR(H27/G27-1,"-")</f>
        <v>1.4018984093122633E-2</v>
      </c>
      <c r="J27" s="159">
        <f t="shared" si="12"/>
        <v>11198</v>
      </c>
      <c r="K27" s="161">
        <f t="shared" si="11"/>
        <v>0.33210763611553479</v>
      </c>
    </row>
    <row r="28" spans="1:23" x14ac:dyDescent="0.25">
      <c r="B28" s="163" t="s">
        <v>115</v>
      </c>
      <c r="C28" s="164">
        <v>10707</v>
      </c>
      <c r="D28" s="164">
        <v>372541</v>
      </c>
      <c r="E28" s="164">
        <v>402623</v>
      </c>
      <c r="F28" s="164">
        <v>425838</v>
      </c>
      <c r="G28" s="164">
        <v>405619</v>
      </c>
      <c r="H28" s="164">
        <v>417498</v>
      </c>
      <c r="I28" s="179">
        <f t="shared" ref="I28:I35" si="13">IFERROR(H28/G28-1,"-")</f>
        <v>2.9286103461622748E-2</v>
      </c>
      <c r="J28" s="163">
        <f t="shared" si="12"/>
        <v>11879</v>
      </c>
      <c r="K28" s="165">
        <f t="shared" si="11"/>
        <v>0.17118403335295979</v>
      </c>
    </row>
    <row r="29" spans="1:23" x14ac:dyDescent="0.25">
      <c r="B29" s="163" t="s">
        <v>118</v>
      </c>
      <c r="C29" s="164">
        <v>23499</v>
      </c>
      <c r="D29" s="164">
        <v>86025</v>
      </c>
      <c r="E29" s="164">
        <v>95073</v>
      </c>
      <c r="F29" s="164">
        <v>95777</v>
      </c>
      <c r="G29" s="164">
        <v>89214</v>
      </c>
      <c r="H29" s="164">
        <v>83219</v>
      </c>
      <c r="I29" s="179">
        <f t="shared" si="13"/>
        <v>-6.719797341224476E-2</v>
      </c>
      <c r="J29" s="163">
        <f t="shared" si="12"/>
        <v>-5995</v>
      </c>
      <c r="K29" s="165">
        <f t="shared" si="11"/>
        <v>3.4121754048163012E-2</v>
      </c>
    </row>
    <row r="30" spans="1:23" x14ac:dyDescent="0.25">
      <c r="B30" s="163" t="s">
        <v>121</v>
      </c>
      <c r="C30" s="164">
        <v>16608</v>
      </c>
      <c r="D30" s="164">
        <v>30711</v>
      </c>
      <c r="E30" s="164">
        <v>28713</v>
      </c>
      <c r="F30" s="164">
        <v>25839</v>
      </c>
      <c r="G30" s="164">
        <v>23850</v>
      </c>
      <c r="H30" s="164">
        <v>27560</v>
      </c>
      <c r="I30" s="179">
        <f t="shared" si="13"/>
        <v>0.15555555555555545</v>
      </c>
      <c r="J30" s="163">
        <f t="shared" si="12"/>
        <v>3710</v>
      </c>
      <c r="K30" s="165">
        <f t="shared" si="11"/>
        <v>1.1300250442415465E-2</v>
      </c>
    </row>
    <row r="31" spans="1:23" x14ac:dyDescent="0.25">
      <c r="B31" s="163" t="s">
        <v>128</v>
      </c>
      <c r="C31" s="164">
        <v>6368</v>
      </c>
      <c r="D31" s="164">
        <v>39966</v>
      </c>
      <c r="E31" s="164">
        <v>32829</v>
      </c>
      <c r="F31" s="164">
        <v>35787</v>
      </c>
      <c r="G31" s="164">
        <v>32529</v>
      </c>
      <c r="H31" s="164">
        <v>35511</v>
      </c>
      <c r="I31" s="179">
        <f t="shared" si="13"/>
        <v>9.1672046481600988E-2</v>
      </c>
      <c r="J31" s="163">
        <f t="shared" si="12"/>
        <v>2982</v>
      </c>
      <c r="K31" s="165">
        <f t="shared" si="11"/>
        <v>1.456034809363627E-2</v>
      </c>
    </row>
    <row r="32" spans="1:23" x14ac:dyDescent="0.25">
      <c r="B32" s="163" t="s">
        <v>124</v>
      </c>
      <c r="C32" s="164">
        <v>11357</v>
      </c>
      <c r="D32" s="164">
        <v>46524</v>
      </c>
      <c r="E32" s="164">
        <v>42865</v>
      </c>
      <c r="F32" s="164">
        <v>44261</v>
      </c>
      <c r="G32" s="164">
        <v>41334</v>
      </c>
      <c r="H32" s="164">
        <v>43522</v>
      </c>
      <c r="I32" s="179">
        <f t="shared" si="13"/>
        <v>5.2934630086611589E-2</v>
      </c>
      <c r="J32" s="163">
        <f t="shared" si="12"/>
        <v>2188</v>
      </c>
      <c r="K32" s="165">
        <f t="shared" si="11"/>
        <v>1.7845047160914583E-2</v>
      </c>
    </row>
    <row r="33" spans="2:11" x14ac:dyDescent="0.25">
      <c r="B33" s="163" t="s">
        <v>133</v>
      </c>
      <c r="C33" s="164">
        <v>279</v>
      </c>
      <c r="D33" s="164">
        <v>12058</v>
      </c>
      <c r="E33" s="164">
        <v>13312</v>
      </c>
      <c r="F33" s="164">
        <v>13054</v>
      </c>
      <c r="G33" s="164">
        <v>11520</v>
      </c>
      <c r="H33" s="164">
        <v>10679</v>
      </c>
      <c r="I33" s="179">
        <f t="shared" si="13"/>
        <v>-7.3003472222222254E-2</v>
      </c>
      <c r="J33" s="163">
        <f t="shared" si="12"/>
        <v>-841</v>
      </c>
      <c r="K33" s="165">
        <f t="shared" si="11"/>
        <v>4.3786420346355135E-3</v>
      </c>
    </row>
    <row r="34" spans="2:11" x14ac:dyDescent="0.25">
      <c r="B34" s="163" t="s">
        <v>136</v>
      </c>
      <c r="C34" s="164">
        <v>258</v>
      </c>
      <c r="D34" s="164">
        <v>7316</v>
      </c>
      <c r="E34" s="164">
        <v>12085</v>
      </c>
      <c r="F34" s="164">
        <v>11397</v>
      </c>
      <c r="G34" s="164">
        <v>9760</v>
      </c>
      <c r="H34" s="164">
        <v>9136</v>
      </c>
      <c r="I34" s="179">
        <f t="shared" si="13"/>
        <v>-6.3934426229508179E-2</v>
      </c>
      <c r="J34" s="163">
        <f t="shared" si="12"/>
        <v>-624</v>
      </c>
      <c r="K34" s="165">
        <f t="shared" si="11"/>
        <v>3.7459756183565924E-3</v>
      </c>
    </row>
    <row r="35" spans="2:11" x14ac:dyDescent="0.25">
      <c r="B35" s="168" t="s">
        <v>150</v>
      </c>
      <c r="C35" s="169">
        <f t="shared" ref="C35:H35" si="14">C27-SUM(C28:C34)</f>
        <v>51331</v>
      </c>
      <c r="D35" s="169">
        <f t="shared" si="14"/>
        <v>156168</v>
      </c>
      <c r="E35" s="169">
        <f t="shared" si="14"/>
        <v>175956</v>
      </c>
      <c r="F35" s="169">
        <f t="shared" si="14"/>
        <v>194443</v>
      </c>
      <c r="G35" s="169">
        <f t="shared" si="14"/>
        <v>184948</v>
      </c>
      <c r="H35" s="169">
        <f t="shared" si="14"/>
        <v>182847</v>
      </c>
      <c r="I35" s="180">
        <f t="shared" si="13"/>
        <v>-1.1359949823734228E-2</v>
      </c>
      <c r="J35" s="168">
        <f>H35-G35</f>
        <v>-2101</v>
      </c>
      <c r="K35" s="170">
        <f t="shared" si="11"/>
        <v>7.4971585364453572E-2</v>
      </c>
    </row>
    <row r="36" spans="2:11" x14ac:dyDescent="0.25">
      <c r="B36" s="155" t="s">
        <v>47</v>
      </c>
      <c r="C36" s="153"/>
      <c r="D36" s="153"/>
      <c r="E36" s="153"/>
      <c r="F36" s="153"/>
      <c r="G36" s="153"/>
      <c r="H36" s="153"/>
      <c r="I36" s="154"/>
      <c r="J36" s="154"/>
      <c r="K36" s="153"/>
    </row>
    <row r="37" spans="2:11" x14ac:dyDescent="0.25">
      <c r="B37" s="156" t="s">
        <v>73</v>
      </c>
      <c r="C37" s="176">
        <f t="shared" ref="C37:H37" si="15">C38+C41</f>
        <v>42517</v>
      </c>
      <c r="D37" s="176">
        <f t="shared" si="15"/>
        <v>411014</v>
      </c>
      <c r="E37" s="176">
        <f t="shared" si="15"/>
        <v>461805</v>
      </c>
      <c r="F37" s="176">
        <f t="shared" si="15"/>
        <v>489126</v>
      </c>
      <c r="G37" s="176">
        <f t="shared" si="15"/>
        <v>505218</v>
      </c>
      <c r="H37" s="176">
        <f t="shared" si="15"/>
        <v>520334</v>
      </c>
      <c r="I37" s="177">
        <f>IFERROR(H37/G37-1,"-")</f>
        <v>2.9919757411652093E-2</v>
      </c>
      <c r="J37" s="176">
        <f>H37-G37</f>
        <v>15116</v>
      </c>
      <c r="K37" s="177">
        <f t="shared" ref="K37:K49" si="16">H37/H$9</f>
        <v>0.21334922038112514</v>
      </c>
    </row>
    <row r="38" spans="2:11" x14ac:dyDescent="0.25">
      <c r="B38" s="159" t="s">
        <v>102</v>
      </c>
      <c r="C38" s="160">
        <v>13071</v>
      </c>
      <c r="D38" s="160">
        <v>45684</v>
      </c>
      <c r="E38" s="160">
        <v>44929</v>
      </c>
      <c r="F38" s="160">
        <v>42982</v>
      </c>
      <c r="G38" s="160">
        <v>43254</v>
      </c>
      <c r="H38" s="160">
        <v>50069</v>
      </c>
      <c r="I38" s="178">
        <f>IFERROR(H38/G38-1,"-")</f>
        <v>0.15755768252647151</v>
      </c>
      <c r="J38" s="159">
        <f t="shared" ref="J38:J48" si="17">H38-G38</f>
        <v>6815</v>
      </c>
      <c r="K38" s="161">
        <f t="shared" si="16"/>
        <v>2.0529471676389691E-2</v>
      </c>
    </row>
    <row r="39" spans="2:11" x14ac:dyDescent="0.25">
      <c r="B39" s="163" t="s">
        <v>108</v>
      </c>
      <c r="C39" s="164">
        <v>4340</v>
      </c>
      <c r="D39" s="164">
        <v>11126</v>
      </c>
      <c r="E39" s="164">
        <v>15544</v>
      </c>
      <c r="F39" s="164">
        <v>17173</v>
      </c>
      <c r="G39" s="164">
        <v>15928</v>
      </c>
      <c r="H39" s="164">
        <v>20551</v>
      </c>
      <c r="I39" s="179">
        <f>IFERROR(H39/G39-1,"-")</f>
        <v>0.29024359618282269</v>
      </c>
      <c r="J39" s="163">
        <f t="shared" si="17"/>
        <v>4623</v>
      </c>
      <c r="K39" s="165">
        <f t="shared" si="16"/>
        <v>8.4263950232975407E-3</v>
      </c>
    </row>
    <row r="40" spans="2:11" x14ac:dyDescent="0.25">
      <c r="B40" s="163" t="s">
        <v>105</v>
      </c>
      <c r="C40" s="164">
        <v>8731</v>
      </c>
      <c r="D40" s="164">
        <v>34558</v>
      </c>
      <c r="E40" s="164">
        <v>29385</v>
      </c>
      <c r="F40" s="164">
        <v>25809</v>
      </c>
      <c r="G40" s="164">
        <v>27326</v>
      </c>
      <c r="H40" s="164">
        <v>29518</v>
      </c>
      <c r="I40" s="179">
        <f>IFERROR(H40/G40-1,"-")</f>
        <v>8.0216643489716688E-2</v>
      </c>
      <c r="J40" s="163">
        <f t="shared" si="17"/>
        <v>2192</v>
      </c>
      <c r="K40" s="165">
        <f t="shared" si="16"/>
        <v>1.2103076653092152E-2</v>
      </c>
    </row>
    <row r="41" spans="2:11" x14ac:dyDescent="0.25">
      <c r="B41" s="159" t="s">
        <v>112</v>
      </c>
      <c r="C41" s="160">
        <v>29446</v>
      </c>
      <c r="D41" s="160">
        <v>365330</v>
      </c>
      <c r="E41" s="160">
        <v>416876</v>
      </c>
      <c r="F41" s="160">
        <v>446144</v>
      </c>
      <c r="G41" s="160">
        <v>461964</v>
      </c>
      <c r="H41" s="160">
        <v>470265</v>
      </c>
      <c r="I41" s="178">
        <f>IFERROR(H41/G41-1,"-")</f>
        <v>1.7968932644102154E-2</v>
      </c>
      <c r="J41" s="159">
        <f t="shared" si="17"/>
        <v>8301</v>
      </c>
      <c r="K41" s="161">
        <f t="shared" si="16"/>
        <v>0.19281974870473545</v>
      </c>
    </row>
    <row r="42" spans="2:11" x14ac:dyDescent="0.25">
      <c r="B42" s="163" t="s">
        <v>115</v>
      </c>
      <c r="C42" s="164">
        <v>2761</v>
      </c>
      <c r="D42" s="164">
        <v>187188</v>
      </c>
      <c r="E42" s="164">
        <v>212555</v>
      </c>
      <c r="F42" s="164">
        <v>234149</v>
      </c>
      <c r="G42" s="164">
        <v>237875</v>
      </c>
      <c r="H42" s="164">
        <v>244987</v>
      </c>
      <c r="I42" s="179">
        <f t="shared" ref="I42:I49" si="18">IFERROR(H42/G42-1,"-")</f>
        <v>2.9898055701523818E-2</v>
      </c>
      <c r="J42" s="163">
        <f t="shared" si="17"/>
        <v>7112</v>
      </c>
      <c r="K42" s="165">
        <f t="shared" si="16"/>
        <v>0.10045045192801298</v>
      </c>
    </row>
    <row r="43" spans="2:11" x14ac:dyDescent="0.25">
      <c r="B43" s="163" t="s">
        <v>118</v>
      </c>
      <c r="C43" s="164">
        <v>2229</v>
      </c>
      <c r="D43" s="164">
        <v>14523</v>
      </c>
      <c r="E43" s="164">
        <v>19123</v>
      </c>
      <c r="F43" s="164">
        <v>17749</v>
      </c>
      <c r="G43" s="164">
        <v>18722</v>
      </c>
      <c r="H43" s="164">
        <v>20307</v>
      </c>
      <c r="I43" s="179">
        <f t="shared" si="18"/>
        <v>8.4659758572801946E-2</v>
      </c>
      <c r="J43" s="163">
        <f t="shared" si="17"/>
        <v>1585</v>
      </c>
      <c r="K43" s="165">
        <f t="shared" si="16"/>
        <v>8.3263492646636749E-3</v>
      </c>
    </row>
    <row r="44" spans="2:11" x14ac:dyDescent="0.25">
      <c r="B44" s="163" t="s">
        <v>121</v>
      </c>
      <c r="C44" s="164">
        <v>3259</v>
      </c>
      <c r="D44" s="164">
        <v>9594</v>
      </c>
      <c r="E44" s="164">
        <v>11591</v>
      </c>
      <c r="F44" s="164">
        <v>11210</v>
      </c>
      <c r="G44" s="164">
        <v>12059</v>
      </c>
      <c r="H44" s="164">
        <v>14930</v>
      </c>
      <c r="I44" s="179">
        <f t="shared" si="18"/>
        <v>0.23807944273986226</v>
      </c>
      <c r="J44" s="163">
        <f t="shared" si="17"/>
        <v>2871</v>
      </c>
      <c r="K44" s="165">
        <f t="shared" si="16"/>
        <v>6.1216523623099746E-3</v>
      </c>
    </row>
    <row r="45" spans="2:11" x14ac:dyDescent="0.25">
      <c r="B45" s="163" t="s">
        <v>128</v>
      </c>
      <c r="C45" s="164">
        <v>2107</v>
      </c>
      <c r="D45" s="164">
        <v>17649</v>
      </c>
      <c r="E45" s="164">
        <v>16220</v>
      </c>
      <c r="F45" s="164">
        <v>18165</v>
      </c>
      <c r="G45" s="164">
        <v>16312</v>
      </c>
      <c r="H45" s="164">
        <v>17159</v>
      </c>
      <c r="I45" s="179">
        <f t="shared" si="18"/>
        <v>5.1924963217263365E-2</v>
      </c>
      <c r="J45" s="163">
        <f t="shared" si="17"/>
        <v>847</v>
      </c>
      <c r="K45" s="165">
        <f t="shared" si="16"/>
        <v>7.0355949688464068E-3</v>
      </c>
    </row>
    <row r="46" spans="2:11" x14ac:dyDescent="0.25">
      <c r="B46" s="163" t="s">
        <v>124</v>
      </c>
      <c r="C46" s="164">
        <v>2768</v>
      </c>
      <c r="D46" s="164">
        <v>16989</v>
      </c>
      <c r="E46" s="164">
        <v>19975</v>
      </c>
      <c r="F46" s="164">
        <v>20959</v>
      </c>
      <c r="G46" s="164">
        <v>17344</v>
      </c>
      <c r="H46" s="164">
        <v>18565</v>
      </c>
      <c r="I46" s="179">
        <f t="shared" si="18"/>
        <v>7.039898523985233E-2</v>
      </c>
      <c r="J46" s="163">
        <f t="shared" si="17"/>
        <v>1221</v>
      </c>
      <c r="K46" s="165">
        <f t="shared" si="16"/>
        <v>7.612088151794017E-3</v>
      </c>
    </row>
    <row r="47" spans="2:11" x14ac:dyDescent="0.25">
      <c r="B47" s="163" t="s">
        <v>133</v>
      </c>
      <c r="C47" s="164">
        <v>460</v>
      </c>
      <c r="D47" s="164">
        <v>4885</v>
      </c>
      <c r="E47" s="164">
        <v>6118</v>
      </c>
      <c r="F47" s="164">
        <v>5101</v>
      </c>
      <c r="G47" s="164">
        <v>6236</v>
      </c>
      <c r="H47" s="164">
        <v>4925</v>
      </c>
      <c r="I47" s="179">
        <f t="shared" si="18"/>
        <v>-0.21023091725465037</v>
      </c>
      <c r="J47" s="163">
        <f t="shared" si="17"/>
        <v>-1311</v>
      </c>
      <c r="K47" s="165">
        <f t="shared" si="16"/>
        <v>2.0193662347204704E-3</v>
      </c>
    </row>
    <row r="48" spans="2:11" x14ac:dyDescent="0.25">
      <c r="B48" s="163" t="s">
        <v>136</v>
      </c>
      <c r="C48" s="164">
        <v>632</v>
      </c>
      <c r="D48" s="164">
        <v>3867</v>
      </c>
      <c r="E48" s="164">
        <v>5813</v>
      </c>
      <c r="F48" s="164">
        <v>5357</v>
      </c>
      <c r="G48" s="164">
        <v>4641</v>
      </c>
      <c r="H48" s="164">
        <v>4925</v>
      </c>
      <c r="I48" s="179">
        <f t="shared" si="18"/>
        <v>6.1193708252531787E-2</v>
      </c>
      <c r="J48" s="163">
        <f t="shared" si="17"/>
        <v>284</v>
      </c>
      <c r="K48" s="165">
        <f t="shared" si="16"/>
        <v>2.0193662347204704E-3</v>
      </c>
    </row>
    <row r="49" spans="2:11" x14ac:dyDescent="0.25">
      <c r="B49" s="168" t="s">
        <v>150</v>
      </c>
      <c r="C49" s="169">
        <f t="shared" ref="C49:H49" si="19">C41-SUM(C42:C48)</f>
        <v>15230</v>
      </c>
      <c r="D49" s="169">
        <f t="shared" si="19"/>
        <v>110635</v>
      </c>
      <c r="E49" s="169">
        <f t="shared" si="19"/>
        <v>125481</v>
      </c>
      <c r="F49" s="169">
        <f t="shared" si="19"/>
        <v>133454</v>
      </c>
      <c r="G49" s="169">
        <f t="shared" si="19"/>
        <v>148775</v>
      </c>
      <c r="H49" s="169">
        <f t="shared" si="19"/>
        <v>144467</v>
      </c>
      <c r="I49" s="180">
        <f t="shared" si="18"/>
        <v>-2.8956477902873479E-2</v>
      </c>
      <c r="J49" s="168">
        <f>H49-G49</f>
        <v>-4308</v>
      </c>
      <c r="K49" s="170">
        <f t="shared" si="16"/>
        <v>5.9234879559667455E-2</v>
      </c>
    </row>
    <row r="50" spans="2:11" x14ac:dyDescent="0.25">
      <c r="B50" s="155" t="s">
        <v>48</v>
      </c>
      <c r="C50" s="153"/>
      <c r="D50" s="153"/>
      <c r="E50" s="153"/>
      <c r="F50" s="153"/>
      <c r="G50" s="153"/>
      <c r="H50" s="153"/>
      <c r="I50" s="154"/>
      <c r="J50" s="154"/>
      <c r="K50" s="153"/>
    </row>
    <row r="51" spans="2:11" x14ac:dyDescent="0.25">
      <c r="B51" s="156" t="s">
        <v>73</v>
      </c>
      <c r="C51" s="176">
        <f t="shared" ref="C51:H51" si="20">C52+C55</f>
        <v>6896</v>
      </c>
      <c r="D51" s="176">
        <f t="shared" si="20"/>
        <v>19165</v>
      </c>
      <c r="E51" s="176">
        <f t="shared" si="20"/>
        <v>29935</v>
      </c>
      <c r="F51" s="176">
        <f t="shared" si="20"/>
        <v>26710</v>
      </c>
      <c r="G51" s="176">
        <f t="shared" si="20"/>
        <v>24109</v>
      </c>
      <c r="H51" s="176">
        <f t="shared" si="20"/>
        <v>29499</v>
      </c>
      <c r="I51" s="177">
        <f>IFERROR(H51/G51-1,"-")</f>
        <v>0.22356796217180297</v>
      </c>
      <c r="J51" s="176">
        <f>H51-G51</f>
        <v>5390</v>
      </c>
      <c r="K51" s="177">
        <f t="shared" ref="K51:K63" si="21">H51/H$9</f>
        <v>1.2095286204673941E-2</v>
      </c>
    </row>
    <row r="52" spans="2:11" x14ac:dyDescent="0.25">
      <c r="B52" s="159" t="s">
        <v>102</v>
      </c>
      <c r="C52" s="160">
        <v>2321</v>
      </c>
      <c r="D52" s="160">
        <v>2543</v>
      </c>
      <c r="E52" s="160">
        <v>13358</v>
      </c>
      <c r="F52" s="160">
        <v>8079</v>
      </c>
      <c r="G52" s="160">
        <v>4759</v>
      </c>
      <c r="H52" s="160">
        <v>9992</v>
      </c>
      <c r="I52" s="178">
        <f>IFERROR(H52/G52-1,"-")</f>
        <v>1.0996007564614416</v>
      </c>
      <c r="J52" s="159">
        <f t="shared" ref="J52:J62" si="22">H52-G52</f>
        <v>5233</v>
      </c>
      <c r="K52" s="161">
        <f t="shared" si="21"/>
        <v>4.0969558207770438E-3</v>
      </c>
    </row>
    <row r="53" spans="2:11" x14ac:dyDescent="0.25">
      <c r="B53" s="163" t="s">
        <v>108</v>
      </c>
      <c r="C53" s="164">
        <v>1161</v>
      </c>
      <c r="D53" s="164">
        <v>1046</v>
      </c>
      <c r="E53" s="164">
        <v>10013</v>
      </c>
      <c r="F53" s="164">
        <v>5363</v>
      </c>
      <c r="G53" s="164">
        <v>2834</v>
      </c>
      <c r="H53" s="164">
        <v>4965</v>
      </c>
      <c r="I53" s="179">
        <f>IFERROR(H53/G53-1,"-")</f>
        <v>0.75194071983062805</v>
      </c>
      <c r="J53" s="163">
        <f t="shared" si="22"/>
        <v>2131</v>
      </c>
      <c r="K53" s="165">
        <f t="shared" si="21"/>
        <v>2.0357671787588094E-3</v>
      </c>
    </row>
    <row r="54" spans="2:11" x14ac:dyDescent="0.25">
      <c r="B54" s="163" t="s">
        <v>105</v>
      </c>
      <c r="C54" s="164">
        <v>1160</v>
      </c>
      <c r="D54" s="164">
        <v>1497</v>
      </c>
      <c r="E54" s="164">
        <v>3345</v>
      </c>
      <c r="F54" s="164">
        <v>2716</v>
      </c>
      <c r="G54" s="164">
        <v>1925</v>
      </c>
      <c r="H54" s="164">
        <v>5027</v>
      </c>
      <c r="I54" s="179">
        <f>IFERROR(H54/G54-1,"-")</f>
        <v>1.6114285714285712</v>
      </c>
      <c r="J54" s="163">
        <f t="shared" si="22"/>
        <v>3102</v>
      </c>
      <c r="K54" s="165">
        <f t="shared" si="21"/>
        <v>2.0611886420182344E-3</v>
      </c>
    </row>
    <row r="55" spans="2:11" x14ac:dyDescent="0.25">
      <c r="B55" s="159" t="s">
        <v>112</v>
      </c>
      <c r="C55" s="160">
        <v>4575</v>
      </c>
      <c r="D55" s="160">
        <v>16622</v>
      </c>
      <c r="E55" s="160">
        <v>16577</v>
      </c>
      <c r="F55" s="160">
        <v>18631</v>
      </c>
      <c r="G55" s="160">
        <v>19350</v>
      </c>
      <c r="H55" s="160">
        <v>19507</v>
      </c>
      <c r="I55" s="178">
        <f>IFERROR(H55/G55-1,"-")</f>
        <v>8.1136950904392435E-3</v>
      </c>
      <c r="J55" s="159">
        <f t="shared" si="22"/>
        <v>157</v>
      </c>
      <c r="K55" s="161">
        <f t="shared" si="21"/>
        <v>7.9983303838968966E-3</v>
      </c>
    </row>
    <row r="56" spans="2:11" x14ac:dyDescent="0.25">
      <c r="B56" s="163" t="s">
        <v>115</v>
      </c>
      <c r="C56" s="164">
        <v>148</v>
      </c>
      <c r="D56" s="164">
        <v>6041</v>
      </c>
      <c r="E56" s="164">
        <v>5224</v>
      </c>
      <c r="F56" s="164">
        <v>6377</v>
      </c>
      <c r="G56" s="164">
        <v>6935</v>
      </c>
      <c r="H56" s="164">
        <v>5287</v>
      </c>
      <c r="I56" s="179">
        <f t="shared" ref="I56:I63" si="23">IFERROR(H56/G56-1,"-")</f>
        <v>-0.23763518385003601</v>
      </c>
      <c r="J56" s="163">
        <f t="shared" si="22"/>
        <v>-1648</v>
      </c>
      <c r="K56" s="165">
        <f t="shared" si="21"/>
        <v>2.1677947782674373E-3</v>
      </c>
    </row>
    <row r="57" spans="2:11" x14ac:dyDescent="0.25">
      <c r="B57" s="163" t="s">
        <v>118</v>
      </c>
      <c r="C57" s="164">
        <v>1674</v>
      </c>
      <c r="D57" s="164">
        <v>3822</v>
      </c>
      <c r="E57" s="164">
        <v>2863</v>
      </c>
      <c r="F57" s="164">
        <v>3406</v>
      </c>
      <c r="G57" s="164">
        <v>3773</v>
      </c>
      <c r="H57" s="164">
        <v>4138</v>
      </c>
      <c r="I57" s="179">
        <f t="shared" si="23"/>
        <v>9.6739994699178267E-2</v>
      </c>
      <c r="J57" s="163">
        <f t="shared" si="22"/>
        <v>365</v>
      </c>
      <c r="K57" s="165">
        <f t="shared" si="21"/>
        <v>1.6966776607661538E-3</v>
      </c>
    </row>
    <row r="58" spans="2:11" x14ac:dyDescent="0.25">
      <c r="B58" s="163" t="s">
        <v>121</v>
      </c>
      <c r="C58" s="164">
        <v>722</v>
      </c>
      <c r="D58" s="164">
        <v>1296</v>
      </c>
      <c r="E58" s="164">
        <v>1711</v>
      </c>
      <c r="F58" s="164">
        <v>1474</v>
      </c>
      <c r="G58" s="164">
        <v>1368</v>
      </c>
      <c r="H58" s="164">
        <v>2173</v>
      </c>
      <c r="I58" s="179">
        <f t="shared" si="23"/>
        <v>0.58845029239766089</v>
      </c>
      <c r="J58" s="163">
        <f t="shared" si="22"/>
        <v>805</v>
      </c>
      <c r="K58" s="165">
        <f t="shared" si="21"/>
        <v>8.909812848827579E-4</v>
      </c>
    </row>
    <row r="59" spans="2:11" x14ac:dyDescent="0.25">
      <c r="B59" s="163" t="s">
        <v>128</v>
      </c>
      <c r="C59" s="164">
        <v>109</v>
      </c>
      <c r="D59" s="164">
        <v>491</v>
      </c>
      <c r="E59" s="164">
        <v>384</v>
      </c>
      <c r="F59" s="164">
        <v>551</v>
      </c>
      <c r="G59" s="164">
        <v>568</v>
      </c>
      <c r="H59" s="164">
        <v>847</v>
      </c>
      <c r="I59" s="179">
        <f t="shared" si="23"/>
        <v>0.49119718309859151</v>
      </c>
      <c r="J59" s="163">
        <f t="shared" si="22"/>
        <v>279</v>
      </c>
      <c r="K59" s="165">
        <f t="shared" si="21"/>
        <v>3.472899900118251E-4</v>
      </c>
    </row>
    <row r="60" spans="2:11" x14ac:dyDescent="0.25">
      <c r="B60" s="163" t="s">
        <v>124</v>
      </c>
      <c r="C60" s="164">
        <v>164</v>
      </c>
      <c r="D60" s="164">
        <v>436</v>
      </c>
      <c r="E60" s="164">
        <v>372</v>
      </c>
      <c r="F60" s="164">
        <v>329</v>
      </c>
      <c r="G60" s="164">
        <v>535</v>
      </c>
      <c r="H60" s="164">
        <v>512</v>
      </c>
      <c r="I60" s="179">
        <f t="shared" si="23"/>
        <v>-4.2990654205607437E-2</v>
      </c>
      <c r="J60" s="163">
        <f t="shared" si="22"/>
        <v>-23</v>
      </c>
      <c r="K60" s="165">
        <f t="shared" si="21"/>
        <v>2.0993208369073725E-4</v>
      </c>
    </row>
    <row r="61" spans="2:11" x14ac:dyDescent="0.25">
      <c r="B61" s="163" t="s">
        <v>133</v>
      </c>
      <c r="C61" s="164">
        <v>39</v>
      </c>
      <c r="D61" s="164">
        <v>57</v>
      </c>
      <c r="E61" s="164">
        <v>154</v>
      </c>
      <c r="F61" s="164">
        <v>88</v>
      </c>
      <c r="G61" s="164">
        <v>170</v>
      </c>
      <c r="H61" s="164">
        <v>120</v>
      </c>
      <c r="I61" s="179">
        <f t="shared" si="23"/>
        <v>-0.29411764705882348</v>
      </c>
      <c r="J61" s="163">
        <f t="shared" si="22"/>
        <v>-50</v>
      </c>
      <c r="K61" s="165">
        <f t="shared" si="21"/>
        <v>4.9202832115016541E-5</v>
      </c>
    </row>
    <row r="62" spans="2:11" x14ac:dyDescent="0.25">
      <c r="B62" s="163" t="s">
        <v>136</v>
      </c>
      <c r="C62" s="164">
        <v>17</v>
      </c>
      <c r="D62" s="164">
        <v>95</v>
      </c>
      <c r="E62" s="164">
        <v>138</v>
      </c>
      <c r="F62" s="164">
        <v>88</v>
      </c>
      <c r="G62" s="164">
        <v>415</v>
      </c>
      <c r="H62" s="164">
        <v>123</v>
      </c>
      <c r="I62" s="179">
        <f t="shared" si="23"/>
        <v>-0.70361445783132526</v>
      </c>
      <c r="J62" s="163">
        <f t="shared" si="22"/>
        <v>-292</v>
      </c>
      <c r="K62" s="165">
        <f t="shared" si="21"/>
        <v>5.0432902917891951E-5</v>
      </c>
    </row>
    <row r="63" spans="2:11" x14ac:dyDescent="0.25">
      <c r="B63" s="168" t="s">
        <v>150</v>
      </c>
      <c r="C63" s="169">
        <f t="shared" ref="C63:H63" si="24">C55-SUM(C56:C62)</f>
        <v>1702</v>
      </c>
      <c r="D63" s="169">
        <f t="shared" si="24"/>
        <v>4384</v>
      </c>
      <c r="E63" s="169">
        <f t="shared" si="24"/>
        <v>5731</v>
      </c>
      <c r="F63" s="169">
        <f t="shared" si="24"/>
        <v>6318</v>
      </c>
      <c r="G63" s="169">
        <f t="shared" si="24"/>
        <v>5586</v>
      </c>
      <c r="H63" s="169">
        <f t="shared" si="24"/>
        <v>6307</v>
      </c>
      <c r="I63" s="180">
        <f t="shared" si="23"/>
        <v>0.12907268170426067</v>
      </c>
      <c r="J63" s="168">
        <f>H63-G63</f>
        <v>721</v>
      </c>
      <c r="K63" s="170">
        <f t="shared" si="21"/>
        <v>2.5860188512450777E-3</v>
      </c>
    </row>
    <row r="64" spans="2:11" x14ac:dyDescent="0.25">
      <c r="B64" s="155" t="s">
        <v>49</v>
      </c>
      <c r="C64" s="153"/>
      <c r="D64" s="153"/>
      <c r="E64" s="153"/>
      <c r="F64" s="153"/>
      <c r="G64" s="153"/>
      <c r="H64" s="153"/>
      <c r="I64" s="154"/>
      <c r="J64" s="154"/>
      <c r="K64" s="153"/>
    </row>
    <row r="65" spans="2:11" x14ac:dyDescent="0.25">
      <c r="B65" s="156" t="s">
        <v>73</v>
      </c>
      <c r="C65" s="176">
        <f t="shared" ref="C65:H65" si="25">C66+C69</f>
        <v>18908</v>
      </c>
      <c r="D65" s="176">
        <f t="shared" si="25"/>
        <v>85891</v>
      </c>
      <c r="E65" s="176">
        <f t="shared" si="25"/>
        <v>98742</v>
      </c>
      <c r="F65" s="176">
        <f t="shared" si="25"/>
        <v>110305</v>
      </c>
      <c r="G65" s="176">
        <f t="shared" si="25"/>
        <v>89955</v>
      </c>
      <c r="H65" s="176">
        <f t="shared" si="25"/>
        <v>91550</v>
      </c>
      <c r="I65" s="177">
        <f>IFERROR(H65/G65-1,"-")</f>
        <v>1.7731087766105214E-2</v>
      </c>
      <c r="J65" s="176">
        <f>H65-G65</f>
        <v>1595</v>
      </c>
      <c r="K65" s="177">
        <f t="shared" ref="K65:K77" si="26">H65/H$9</f>
        <v>3.7537660667748038E-2</v>
      </c>
    </row>
    <row r="66" spans="2:11" x14ac:dyDescent="0.25">
      <c r="B66" s="159" t="s">
        <v>102</v>
      </c>
      <c r="C66" s="160">
        <v>10843</v>
      </c>
      <c r="D66" s="160">
        <v>26332</v>
      </c>
      <c r="E66" s="160">
        <v>23526</v>
      </c>
      <c r="F66" s="160">
        <v>31284</v>
      </c>
      <c r="G66" s="160">
        <v>24581</v>
      </c>
      <c r="H66" s="160">
        <v>25415</v>
      </c>
      <c r="I66" s="178">
        <f>IFERROR(H66/G66-1,"-")</f>
        <v>3.3928644074691761E-2</v>
      </c>
      <c r="J66" s="159">
        <f t="shared" ref="J66:J76" si="27">H66-G66</f>
        <v>834</v>
      </c>
      <c r="K66" s="161">
        <f t="shared" si="26"/>
        <v>1.0420749818359545E-2</v>
      </c>
    </row>
    <row r="67" spans="2:11" x14ac:dyDescent="0.25">
      <c r="B67" s="163" t="s">
        <v>108</v>
      </c>
      <c r="C67" s="164">
        <v>10492</v>
      </c>
      <c r="D67" s="164">
        <v>21697</v>
      </c>
      <c r="E67" s="164">
        <v>18084</v>
      </c>
      <c r="F67" s="164">
        <v>18174</v>
      </c>
      <c r="G67" s="164">
        <v>9049</v>
      </c>
      <c r="H67" s="164">
        <v>11937</v>
      </c>
      <c r="I67" s="179">
        <f>IFERROR(H67/G67-1,"-")</f>
        <v>0.3191512874350757</v>
      </c>
      <c r="J67" s="163">
        <f t="shared" si="27"/>
        <v>2888</v>
      </c>
      <c r="K67" s="165">
        <f t="shared" si="26"/>
        <v>4.8944517246412708E-3</v>
      </c>
    </row>
    <row r="68" spans="2:11" x14ac:dyDescent="0.25">
      <c r="B68" s="163" t="s">
        <v>105</v>
      </c>
      <c r="C68" s="164">
        <v>351</v>
      </c>
      <c r="D68" s="164">
        <v>4635</v>
      </c>
      <c r="E68" s="164">
        <v>5442</v>
      </c>
      <c r="F68" s="164">
        <v>13110</v>
      </c>
      <c r="G68" s="164">
        <v>15532</v>
      </c>
      <c r="H68" s="164">
        <v>13478</v>
      </c>
      <c r="I68" s="179">
        <f>IFERROR(H68/G68-1,"-")</f>
        <v>-0.13224311099665209</v>
      </c>
      <c r="J68" s="163">
        <f t="shared" si="27"/>
        <v>-2054</v>
      </c>
      <c r="K68" s="165">
        <f t="shared" si="26"/>
        <v>5.5262980937182743E-3</v>
      </c>
    </row>
    <row r="69" spans="2:11" x14ac:dyDescent="0.25">
      <c r="B69" s="159" t="s">
        <v>112</v>
      </c>
      <c r="C69" s="160">
        <v>8065</v>
      </c>
      <c r="D69" s="160">
        <v>59559</v>
      </c>
      <c r="E69" s="160">
        <v>75216</v>
      </c>
      <c r="F69" s="160">
        <v>79021</v>
      </c>
      <c r="G69" s="160">
        <v>65374</v>
      </c>
      <c r="H69" s="160">
        <v>66135</v>
      </c>
      <c r="I69" s="178">
        <f>IFERROR(H69/G69-1,"-")</f>
        <v>1.1640713433475058E-2</v>
      </c>
      <c r="J69" s="159">
        <f t="shared" si="27"/>
        <v>761</v>
      </c>
      <c r="K69" s="161">
        <f t="shared" si="26"/>
        <v>2.7116910849388491E-2</v>
      </c>
    </row>
    <row r="70" spans="2:11" x14ac:dyDescent="0.25">
      <c r="B70" s="163" t="s">
        <v>115</v>
      </c>
      <c r="C70" s="164">
        <v>869</v>
      </c>
      <c r="D70" s="164">
        <v>26221</v>
      </c>
      <c r="E70" s="164">
        <v>28015</v>
      </c>
      <c r="F70" s="164">
        <v>26510</v>
      </c>
      <c r="G70" s="164">
        <v>27977</v>
      </c>
      <c r="H70" s="164">
        <v>30483</v>
      </c>
      <c r="I70" s="179">
        <f t="shared" ref="I70:I77" si="28">IFERROR(H70/G70-1,"-")</f>
        <v>8.9573578296457734E-2</v>
      </c>
      <c r="J70" s="163">
        <f t="shared" si="27"/>
        <v>2506</v>
      </c>
      <c r="K70" s="165">
        <f t="shared" si="26"/>
        <v>1.2498749428017077E-2</v>
      </c>
    </row>
    <row r="71" spans="2:11" x14ac:dyDescent="0.25">
      <c r="B71" s="163" t="s">
        <v>118</v>
      </c>
      <c r="C71" s="164">
        <v>1213</v>
      </c>
      <c r="D71" s="164">
        <v>5231</v>
      </c>
      <c r="E71" s="164">
        <v>6032</v>
      </c>
      <c r="F71" s="164">
        <v>5749</v>
      </c>
      <c r="G71" s="164">
        <v>6004</v>
      </c>
      <c r="H71" s="164">
        <v>5414</v>
      </c>
      <c r="I71" s="179">
        <f t="shared" si="28"/>
        <v>-9.8267821452365123E-2</v>
      </c>
      <c r="J71" s="163">
        <f t="shared" si="27"/>
        <v>-590</v>
      </c>
      <c r="K71" s="165">
        <f t="shared" si="26"/>
        <v>2.2198677755891627E-3</v>
      </c>
    </row>
    <row r="72" spans="2:11" x14ac:dyDescent="0.25">
      <c r="B72" s="163" t="s">
        <v>121</v>
      </c>
      <c r="C72" s="164">
        <v>1335</v>
      </c>
      <c r="D72" s="164">
        <v>8134</v>
      </c>
      <c r="E72" s="164">
        <v>8795</v>
      </c>
      <c r="F72" s="164">
        <v>10964</v>
      </c>
      <c r="G72" s="164">
        <v>5823</v>
      </c>
      <c r="H72" s="164">
        <v>5228</v>
      </c>
      <c r="I72" s="179">
        <f t="shared" si="28"/>
        <v>-0.10218100635411298</v>
      </c>
      <c r="J72" s="163">
        <f t="shared" si="27"/>
        <v>-595</v>
      </c>
      <c r="K72" s="165">
        <f t="shared" si="26"/>
        <v>2.1436033858108871E-3</v>
      </c>
    </row>
    <row r="73" spans="2:11" x14ac:dyDescent="0.25">
      <c r="B73" s="163" t="s">
        <v>128</v>
      </c>
      <c r="C73" s="164">
        <v>415</v>
      </c>
      <c r="D73" s="164">
        <v>982</v>
      </c>
      <c r="E73" s="164">
        <v>2013</v>
      </c>
      <c r="F73" s="164">
        <v>2589</v>
      </c>
      <c r="G73" s="164">
        <v>1590</v>
      </c>
      <c r="H73" s="164">
        <v>1837</v>
      </c>
      <c r="I73" s="179">
        <f t="shared" si="28"/>
        <v>0.15534591194968561</v>
      </c>
      <c r="J73" s="163">
        <f t="shared" si="27"/>
        <v>247</v>
      </c>
      <c r="K73" s="165">
        <f t="shared" si="26"/>
        <v>7.5321335496071151E-4</v>
      </c>
    </row>
    <row r="74" spans="2:11" x14ac:dyDescent="0.25">
      <c r="B74" s="163" t="s">
        <v>124</v>
      </c>
      <c r="C74" s="164">
        <v>436</v>
      </c>
      <c r="D74" s="164">
        <v>1715</v>
      </c>
      <c r="E74" s="164">
        <v>1370</v>
      </c>
      <c r="F74" s="164">
        <v>2185</v>
      </c>
      <c r="G74" s="164">
        <v>1749</v>
      </c>
      <c r="H74" s="164">
        <v>1523</v>
      </c>
      <c r="I74" s="179">
        <f t="shared" si="28"/>
        <v>-0.12921669525443114</v>
      </c>
      <c r="J74" s="163">
        <f t="shared" si="27"/>
        <v>-226</v>
      </c>
      <c r="K74" s="165">
        <f t="shared" si="26"/>
        <v>6.244659442597516E-4</v>
      </c>
    </row>
    <row r="75" spans="2:11" x14ac:dyDescent="0.25">
      <c r="B75" s="163" t="s">
        <v>133</v>
      </c>
      <c r="C75" s="164">
        <v>0</v>
      </c>
      <c r="D75" s="164">
        <v>884</v>
      </c>
      <c r="E75" s="164">
        <v>3184</v>
      </c>
      <c r="F75" s="164">
        <v>1641</v>
      </c>
      <c r="G75" s="164">
        <v>823</v>
      </c>
      <c r="H75" s="164">
        <v>503</v>
      </c>
      <c r="I75" s="179">
        <f t="shared" si="28"/>
        <v>-0.3888213851761847</v>
      </c>
      <c r="J75" s="163">
        <f t="shared" si="27"/>
        <v>-320</v>
      </c>
      <c r="K75" s="165">
        <f t="shared" si="26"/>
        <v>2.0624187128211099E-4</v>
      </c>
    </row>
    <row r="76" spans="2:11" x14ac:dyDescent="0.25">
      <c r="B76" s="163" t="s">
        <v>136</v>
      </c>
      <c r="C76" s="164">
        <v>0</v>
      </c>
      <c r="D76" s="164">
        <v>284</v>
      </c>
      <c r="E76" s="164">
        <v>910</v>
      </c>
      <c r="F76" s="164">
        <v>203</v>
      </c>
      <c r="G76" s="164">
        <v>523</v>
      </c>
      <c r="H76" s="164">
        <v>677</v>
      </c>
      <c r="I76" s="179">
        <f t="shared" si="28"/>
        <v>0.29445506692160617</v>
      </c>
      <c r="J76" s="163">
        <f t="shared" si="27"/>
        <v>154</v>
      </c>
      <c r="K76" s="165">
        <f t="shared" si="26"/>
        <v>2.7758597784888499E-4</v>
      </c>
    </row>
    <row r="77" spans="2:11" x14ac:dyDescent="0.25">
      <c r="B77" s="168" t="s">
        <v>150</v>
      </c>
      <c r="C77" s="169">
        <f t="shared" ref="C77:H77" si="29">C69-SUM(C70:C76)</f>
        <v>3797</v>
      </c>
      <c r="D77" s="169">
        <f t="shared" si="29"/>
        <v>16108</v>
      </c>
      <c r="E77" s="169">
        <f t="shared" si="29"/>
        <v>24897</v>
      </c>
      <c r="F77" s="169">
        <f t="shared" si="29"/>
        <v>29180</v>
      </c>
      <c r="G77" s="169">
        <f t="shared" si="29"/>
        <v>20885</v>
      </c>
      <c r="H77" s="169">
        <f t="shared" si="29"/>
        <v>20470</v>
      </c>
      <c r="I77" s="180">
        <f t="shared" si="28"/>
        <v>-1.9870720612880088E-2</v>
      </c>
      <c r="J77" s="168">
        <f>H77-G77</f>
        <v>-415</v>
      </c>
      <c r="K77" s="170">
        <f t="shared" si="26"/>
        <v>8.3931831116199045E-3</v>
      </c>
    </row>
    <row r="78" spans="2:11" x14ac:dyDescent="0.25">
      <c r="B78" s="155" t="s">
        <v>50</v>
      </c>
      <c r="C78" s="153"/>
      <c r="D78" s="153"/>
      <c r="E78" s="153"/>
      <c r="F78" s="153"/>
      <c r="G78" s="153"/>
      <c r="H78" s="153"/>
      <c r="I78" s="154"/>
      <c r="J78" s="154"/>
      <c r="K78" s="153"/>
    </row>
    <row r="79" spans="2:11" x14ac:dyDescent="0.25">
      <c r="B79" s="156" t="s">
        <v>73</v>
      </c>
      <c r="C79" s="176">
        <f t="shared" ref="C79:H79" si="30">C80+C83</f>
        <v>85300</v>
      </c>
      <c r="D79" s="176">
        <f t="shared" si="30"/>
        <v>319384</v>
      </c>
      <c r="E79" s="176">
        <f t="shared" si="30"/>
        <v>370229</v>
      </c>
      <c r="F79" s="176">
        <f t="shared" si="30"/>
        <v>426511</v>
      </c>
      <c r="G79" s="176">
        <f t="shared" si="30"/>
        <v>425473</v>
      </c>
      <c r="H79" s="176">
        <f t="shared" si="30"/>
        <v>417256</v>
      </c>
      <c r="I79" s="177">
        <f>IFERROR(H79/G79-1,"-")</f>
        <v>-1.931262383276966E-2</v>
      </c>
      <c r="J79" s="176">
        <f>H79-G79</f>
        <v>-8217</v>
      </c>
      <c r="K79" s="177">
        <f t="shared" ref="K79:K91" si="31">H79/H$9</f>
        <v>0.17108480764152784</v>
      </c>
    </row>
    <row r="80" spans="2:11" x14ac:dyDescent="0.25">
      <c r="B80" s="159" t="s">
        <v>102</v>
      </c>
      <c r="C80" s="160">
        <v>51558</v>
      </c>
      <c r="D80" s="160">
        <v>160048</v>
      </c>
      <c r="E80" s="160">
        <v>168411</v>
      </c>
      <c r="F80" s="160">
        <v>174989</v>
      </c>
      <c r="G80" s="160">
        <v>178352</v>
      </c>
      <c r="H80" s="160">
        <v>183964</v>
      </c>
      <c r="I80" s="178">
        <f>IFERROR(H80/G80-1,"-")</f>
        <v>3.1465865255225545E-2</v>
      </c>
      <c r="J80" s="159">
        <f t="shared" ref="J80:J90" si="32">H80-G80</f>
        <v>5612</v>
      </c>
      <c r="K80" s="161">
        <f t="shared" si="31"/>
        <v>7.542958172672419E-2</v>
      </c>
    </row>
    <row r="81" spans="2:11" x14ac:dyDescent="0.25">
      <c r="B81" s="163" t="s">
        <v>108</v>
      </c>
      <c r="C81" s="164">
        <v>19409</v>
      </c>
      <c r="D81" s="164">
        <v>39526</v>
      </c>
      <c r="E81" s="164">
        <v>35895</v>
      </c>
      <c r="F81" s="164">
        <v>44235</v>
      </c>
      <c r="G81" s="164">
        <v>38969</v>
      </c>
      <c r="H81" s="164">
        <v>52343</v>
      </c>
      <c r="I81" s="179">
        <f>IFERROR(H81/G81-1,"-")</f>
        <v>0.34319587364315218</v>
      </c>
      <c r="J81" s="163">
        <f t="shared" si="32"/>
        <v>13374</v>
      </c>
      <c r="K81" s="165">
        <f t="shared" si="31"/>
        <v>2.1461865344969258E-2</v>
      </c>
    </row>
    <row r="82" spans="2:11" x14ac:dyDescent="0.25">
      <c r="B82" s="163" t="s">
        <v>105</v>
      </c>
      <c r="C82" s="164">
        <v>32149</v>
      </c>
      <c r="D82" s="164">
        <v>120522</v>
      </c>
      <c r="E82" s="164">
        <v>132516</v>
      </c>
      <c r="F82" s="164">
        <v>130754</v>
      </c>
      <c r="G82" s="164">
        <v>139383</v>
      </c>
      <c r="H82" s="164">
        <v>131621</v>
      </c>
      <c r="I82" s="179">
        <f>IFERROR(H82/G82-1,"-")</f>
        <v>-5.5688283363107383E-2</v>
      </c>
      <c r="J82" s="163">
        <f t="shared" si="32"/>
        <v>-7762</v>
      </c>
      <c r="K82" s="165">
        <f t="shared" si="31"/>
        <v>5.3967716381754932E-2</v>
      </c>
    </row>
    <row r="83" spans="2:11" x14ac:dyDescent="0.25">
      <c r="B83" s="159" t="s">
        <v>112</v>
      </c>
      <c r="C83" s="160">
        <v>33742</v>
      </c>
      <c r="D83" s="160">
        <v>159336</v>
      </c>
      <c r="E83" s="160">
        <v>201818</v>
      </c>
      <c r="F83" s="160">
        <v>251522</v>
      </c>
      <c r="G83" s="160">
        <v>247121</v>
      </c>
      <c r="H83" s="160">
        <v>233292</v>
      </c>
      <c r="I83" s="178">
        <f>IFERROR(H83/G83-1,"-")</f>
        <v>-5.5960440432015091E-2</v>
      </c>
      <c r="J83" s="159">
        <f t="shared" si="32"/>
        <v>-13829</v>
      </c>
      <c r="K83" s="161">
        <f t="shared" si="31"/>
        <v>9.565522591480366E-2</v>
      </c>
    </row>
    <row r="84" spans="2:11" x14ac:dyDescent="0.25">
      <c r="B84" s="163" t="s">
        <v>115</v>
      </c>
      <c r="C84" s="164">
        <v>2518</v>
      </c>
      <c r="D84" s="164">
        <v>32465</v>
      </c>
      <c r="E84" s="164">
        <v>43103</v>
      </c>
      <c r="F84" s="164">
        <v>53632</v>
      </c>
      <c r="G84" s="164">
        <v>56490</v>
      </c>
      <c r="H84" s="164">
        <v>53324</v>
      </c>
      <c r="I84" s="179">
        <f t="shared" ref="I84:I91" si="33">IFERROR(H84/G84-1,"-")</f>
        <v>-5.6045317755354929E-2</v>
      </c>
      <c r="J84" s="163">
        <f t="shared" si="32"/>
        <v>-3166</v>
      </c>
      <c r="K84" s="165">
        <f t="shared" si="31"/>
        <v>2.1864098497509518E-2</v>
      </c>
    </row>
    <row r="85" spans="2:11" x14ac:dyDescent="0.25">
      <c r="B85" s="163" t="s">
        <v>118</v>
      </c>
      <c r="C85" s="164">
        <v>7487</v>
      </c>
      <c r="D85" s="164">
        <v>51981</v>
      </c>
      <c r="E85" s="164">
        <v>62917</v>
      </c>
      <c r="F85" s="164">
        <v>71569</v>
      </c>
      <c r="G85" s="164">
        <v>67946</v>
      </c>
      <c r="H85" s="164">
        <v>60565</v>
      </c>
      <c r="I85" s="179">
        <f t="shared" si="33"/>
        <v>-0.10863038295116711</v>
      </c>
      <c r="J85" s="163">
        <f t="shared" si="32"/>
        <v>-7381</v>
      </c>
      <c r="K85" s="165">
        <f t="shared" si="31"/>
        <v>2.4833079392049807E-2</v>
      </c>
    </row>
    <row r="86" spans="2:11" x14ac:dyDescent="0.25">
      <c r="B86" s="163" t="s">
        <v>121</v>
      </c>
      <c r="C86" s="164">
        <v>6161</v>
      </c>
      <c r="D86" s="164">
        <v>14878</v>
      </c>
      <c r="E86" s="164">
        <v>19770</v>
      </c>
      <c r="F86" s="164">
        <v>31083</v>
      </c>
      <c r="G86" s="164">
        <v>27702</v>
      </c>
      <c r="H86" s="164">
        <v>27473</v>
      </c>
      <c r="I86" s="179">
        <f t="shared" si="33"/>
        <v>-8.2665511515414014E-3</v>
      </c>
      <c r="J86" s="163">
        <f t="shared" si="32"/>
        <v>-229</v>
      </c>
      <c r="K86" s="165">
        <f t="shared" si="31"/>
        <v>1.1264578389132078E-2</v>
      </c>
    </row>
    <row r="87" spans="2:11" x14ac:dyDescent="0.25">
      <c r="B87" s="163" t="s">
        <v>128</v>
      </c>
      <c r="C87" s="164">
        <v>702</v>
      </c>
      <c r="D87" s="164">
        <v>3235</v>
      </c>
      <c r="E87" s="164">
        <v>3613</v>
      </c>
      <c r="F87" s="164">
        <v>6765</v>
      </c>
      <c r="G87" s="164">
        <v>6932</v>
      </c>
      <c r="H87" s="164">
        <v>6406</v>
      </c>
      <c r="I87" s="179">
        <f t="shared" si="33"/>
        <v>-7.5879976918638237E-2</v>
      </c>
      <c r="J87" s="163">
        <f t="shared" si="32"/>
        <v>-526</v>
      </c>
      <c r="K87" s="165">
        <f t="shared" si="31"/>
        <v>2.6266111877399664E-3</v>
      </c>
    </row>
    <row r="88" spans="2:11" x14ac:dyDescent="0.25">
      <c r="B88" s="163" t="s">
        <v>124</v>
      </c>
      <c r="C88" s="164">
        <v>940</v>
      </c>
      <c r="D88" s="164">
        <v>2928</v>
      </c>
      <c r="E88" s="164">
        <v>3289</v>
      </c>
      <c r="F88" s="164">
        <v>4368</v>
      </c>
      <c r="G88" s="164">
        <v>4287</v>
      </c>
      <c r="H88" s="164">
        <v>5092</v>
      </c>
      <c r="I88" s="179">
        <f t="shared" si="33"/>
        <v>0.18777700023326327</v>
      </c>
      <c r="J88" s="163">
        <f t="shared" si="32"/>
        <v>805</v>
      </c>
      <c r="K88" s="165">
        <f t="shared" si="31"/>
        <v>2.0878401760805352E-3</v>
      </c>
    </row>
    <row r="89" spans="2:11" x14ac:dyDescent="0.25">
      <c r="B89" s="163" t="s">
        <v>133</v>
      </c>
      <c r="C89" s="164">
        <v>113</v>
      </c>
      <c r="D89" s="164">
        <v>1856</v>
      </c>
      <c r="E89" s="164">
        <v>2469</v>
      </c>
      <c r="F89" s="164">
        <v>2476</v>
      </c>
      <c r="G89" s="164">
        <v>2549</v>
      </c>
      <c r="H89" s="164">
        <v>2143</v>
      </c>
      <c r="I89" s="179">
        <f t="shared" si="33"/>
        <v>-0.15927814829344844</v>
      </c>
      <c r="J89" s="163">
        <f t="shared" si="32"/>
        <v>-406</v>
      </c>
      <c r="K89" s="165">
        <f t="shared" si="31"/>
        <v>8.7868057685400376E-4</v>
      </c>
    </row>
    <row r="90" spans="2:11" x14ac:dyDescent="0.25">
      <c r="B90" s="163" t="s">
        <v>136</v>
      </c>
      <c r="C90" s="164">
        <v>219</v>
      </c>
      <c r="D90" s="164">
        <v>1540</v>
      </c>
      <c r="E90" s="164">
        <v>2525</v>
      </c>
      <c r="F90" s="164">
        <v>2989</v>
      </c>
      <c r="G90" s="164">
        <v>2101</v>
      </c>
      <c r="H90" s="164">
        <v>2437</v>
      </c>
      <c r="I90" s="179">
        <f t="shared" si="33"/>
        <v>0.15992384578772012</v>
      </c>
      <c r="J90" s="163">
        <f t="shared" si="32"/>
        <v>336</v>
      </c>
      <c r="K90" s="165">
        <f t="shared" si="31"/>
        <v>9.9922751553579428E-4</v>
      </c>
    </row>
    <row r="91" spans="2:11" x14ac:dyDescent="0.25">
      <c r="B91" s="168" t="s">
        <v>150</v>
      </c>
      <c r="C91" s="169">
        <f t="shared" ref="C91:H91" si="34">C83-SUM(C84:C90)</f>
        <v>15602</v>
      </c>
      <c r="D91" s="169">
        <f t="shared" si="34"/>
        <v>50453</v>
      </c>
      <c r="E91" s="169">
        <f t="shared" si="34"/>
        <v>64132</v>
      </c>
      <c r="F91" s="169">
        <f t="shared" si="34"/>
        <v>78640</v>
      </c>
      <c r="G91" s="169">
        <f t="shared" si="34"/>
        <v>79114</v>
      </c>
      <c r="H91" s="169">
        <f t="shared" si="34"/>
        <v>75852</v>
      </c>
      <c r="I91" s="180">
        <f t="shared" si="33"/>
        <v>-4.1231640417625171E-2</v>
      </c>
      <c r="J91" s="168">
        <f>H91-G91</f>
        <v>-3262</v>
      </c>
      <c r="K91" s="170">
        <f t="shared" si="31"/>
        <v>3.1101110179901956E-2</v>
      </c>
    </row>
    <row r="92" spans="2:11" x14ac:dyDescent="0.25">
      <c r="B92" s="155" t="s">
        <v>51</v>
      </c>
      <c r="C92" s="153"/>
      <c r="D92" s="153"/>
      <c r="E92" s="153"/>
      <c r="F92" s="153"/>
      <c r="G92" s="153"/>
      <c r="H92" s="153"/>
      <c r="I92" s="154"/>
      <c r="J92" s="154"/>
      <c r="K92" s="153"/>
    </row>
    <row r="93" spans="2:11" x14ac:dyDescent="0.25">
      <c r="B93" s="156" t="s">
        <v>73</v>
      </c>
      <c r="C93" s="176">
        <f t="shared" ref="C93:H93" si="35">C94+C97</f>
        <v>14230</v>
      </c>
      <c r="D93" s="176">
        <f t="shared" si="35"/>
        <v>28946</v>
      </c>
      <c r="E93" s="176">
        <f t="shared" si="35"/>
        <v>35023</v>
      </c>
      <c r="F93" s="176">
        <f t="shared" si="35"/>
        <v>33791</v>
      </c>
      <c r="G93" s="176">
        <f t="shared" si="35"/>
        <v>31909</v>
      </c>
      <c r="H93" s="176">
        <f t="shared" si="35"/>
        <v>31112</v>
      </c>
      <c r="I93" s="177">
        <f>IFERROR(H93/G93-1,"-")</f>
        <v>-2.4977279137547437E-2</v>
      </c>
      <c r="J93" s="176">
        <f>H93-G93</f>
        <v>-797</v>
      </c>
      <c r="K93" s="177">
        <f t="shared" ref="K93:K105" si="36">H93/H$9</f>
        <v>1.2756654273019955E-2</v>
      </c>
    </row>
    <row r="94" spans="2:11" x14ac:dyDescent="0.25">
      <c r="B94" s="159" t="s">
        <v>102</v>
      </c>
      <c r="C94" s="160">
        <v>9042</v>
      </c>
      <c r="D94" s="160">
        <v>18683</v>
      </c>
      <c r="E94" s="160">
        <v>23106</v>
      </c>
      <c r="F94" s="160">
        <v>20343</v>
      </c>
      <c r="G94" s="160">
        <v>19090</v>
      </c>
      <c r="H94" s="160">
        <v>19531</v>
      </c>
      <c r="I94" s="178">
        <f>IFERROR(H94/G94-1,"-")</f>
        <v>2.3101100052383527E-2</v>
      </c>
      <c r="J94" s="159">
        <f t="shared" ref="J94:J104" si="37">H94-G94</f>
        <v>441</v>
      </c>
      <c r="K94" s="161">
        <f t="shared" si="36"/>
        <v>8.0081709503199011E-3</v>
      </c>
    </row>
    <row r="95" spans="2:11" x14ac:dyDescent="0.25">
      <c r="B95" s="163" t="s">
        <v>108</v>
      </c>
      <c r="C95" s="164">
        <v>4883</v>
      </c>
      <c r="D95" s="164">
        <v>9207</v>
      </c>
      <c r="E95" s="164">
        <v>7164</v>
      </c>
      <c r="F95" s="164">
        <v>6280</v>
      </c>
      <c r="G95" s="164">
        <v>6212</v>
      </c>
      <c r="H95" s="164">
        <v>8055</v>
      </c>
      <c r="I95" s="179">
        <f>IFERROR(H95/G95-1,"-")</f>
        <v>0.29668383773341911</v>
      </c>
      <c r="J95" s="163">
        <f t="shared" si="37"/>
        <v>1843</v>
      </c>
      <c r="K95" s="165">
        <f t="shared" si="36"/>
        <v>3.3027401057204851E-3</v>
      </c>
    </row>
    <row r="96" spans="2:11" x14ac:dyDescent="0.25">
      <c r="B96" s="163" t="s">
        <v>105</v>
      </c>
      <c r="C96" s="164">
        <v>4159</v>
      </c>
      <c r="D96" s="164">
        <v>9476</v>
      </c>
      <c r="E96" s="164">
        <v>15942</v>
      </c>
      <c r="F96" s="164">
        <v>14063</v>
      </c>
      <c r="G96" s="164">
        <v>12878</v>
      </c>
      <c r="H96" s="164">
        <v>11476</v>
      </c>
      <c r="I96" s="179">
        <f>IFERROR(H96/G96-1,"-")</f>
        <v>-0.10886783662059329</v>
      </c>
      <c r="J96" s="163">
        <f t="shared" si="37"/>
        <v>-1402</v>
      </c>
      <c r="K96" s="165">
        <f t="shared" si="36"/>
        <v>4.7054308445994147E-3</v>
      </c>
    </row>
    <row r="97" spans="2:11" x14ac:dyDescent="0.25">
      <c r="B97" s="159" t="s">
        <v>112</v>
      </c>
      <c r="C97" s="160">
        <v>5188</v>
      </c>
      <c r="D97" s="160">
        <v>10263</v>
      </c>
      <c r="E97" s="160">
        <v>11917</v>
      </c>
      <c r="F97" s="160">
        <v>13448</v>
      </c>
      <c r="G97" s="160">
        <v>12819</v>
      </c>
      <c r="H97" s="160">
        <v>11581</v>
      </c>
      <c r="I97" s="178">
        <f>IFERROR(H97/G97-1,"-")</f>
        <v>-9.6575395896715821E-2</v>
      </c>
      <c r="J97" s="159">
        <f t="shared" si="37"/>
        <v>-1238</v>
      </c>
      <c r="K97" s="161">
        <f t="shared" si="36"/>
        <v>4.7484833227000546E-3</v>
      </c>
    </row>
    <row r="98" spans="2:11" x14ac:dyDescent="0.25">
      <c r="B98" s="163" t="s">
        <v>115</v>
      </c>
      <c r="C98" s="164">
        <v>194</v>
      </c>
      <c r="D98" s="164">
        <v>1389</v>
      </c>
      <c r="E98" s="164">
        <v>1721</v>
      </c>
      <c r="F98" s="164">
        <v>2001</v>
      </c>
      <c r="G98" s="164">
        <v>1690</v>
      </c>
      <c r="H98" s="164">
        <v>1622</v>
      </c>
      <c r="I98" s="179">
        <f t="shared" ref="I98:I105" si="38">IFERROR(H98/G98-1,"-")</f>
        <v>-4.0236686390532572E-2</v>
      </c>
      <c r="J98" s="163">
        <f t="shared" si="37"/>
        <v>-68</v>
      </c>
      <c r="K98" s="165">
        <f t="shared" si="36"/>
        <v>6.6505828075464019E-4</v>
      </c>
    </row>
    <row r="99" spans="2:11" x14ac:dyDescent="0.25">
      <c r="B99" s="163" t="s">
        <v>118</v>
      </c>
      <c r="C99" s="164">
        <v>779</v>
      </c>
      <c r="D99" s="164">
        <v>1979</v>
      </c>
      <c r="E99" s="164">
        <v>2132</v>
      </c>
      <c r="F99" s="164">
        <v>2613</v>
      </c>
      <c r="G99" s="164">
        <v>2297</v>
      </c>
      <c r="H99" s="164">
        <v>1995</v>
      </c>
      <c r="I99" s="179">
        <f t="shared" si="38"/>
        <v>-0.13147583804962992</v>
      </c>
      <c r="J99" s="163">
        <f t="shared" si="37"/>
        <v>-302</v>
      </c>
      <c r="K99" s="165">
        <f t="shared" si="36"/>
        <v>8.1799708391215001E-4</v>
      </c>
    </row>
    <row r="100" spans="2:11" x14ac:dyDescent="0.25">
      <c r="B100" s="163" t="s">
        <v>121</v>
      </c>
      <c r="C100" s="164">
        <v>2064</v>
      </c>
      <c r="D100" s="164">
        <v>1979</v>
      </c>
      <c r="E100" s="164">
        <v>2303</v>
      </c>
      <c r="F100" s="164">
        <v>2266</v>
      </c>
      <c r="G100" s="164">
        <v>2173</v>
      </c>
      <c r="H100" s="164">
        <v>2119</v>
      </c>
      <c r="I100" s="179">
        <f t="shared" si="38"/>
        <v>-2.4850437183617125E-2</v>
      </c>
      <c r="J100" s="163">
        <f t="shared" si="37"/>
        <v>-54</v>
      </c>
      <c r="K100" s="165">
        <f t="shared" si="36"/>
        <v>8.6884001043100042E-4</v>
      </c>
    </row>
    <row r="101" spans="2:11" x14ac:dyDescent="0.25">
      <c r="B101" s="163" t="s">
        <v>128</v>
      </c>
      <c r="C101" s="164">
        <v>99</v>
      </c>
      <c r="D101" s="164">
        <v>714</v>
      </c>
      <c r="E101" s="164">
        <v>569</v>
      </c>
      <c r="F101" s="164">
        <v>627</v>
      </c>
      <c r="G101" s="164">
        <v>622</v>
      </c>
      <c r="H101" s="164">
        <v>590</v>
      </c>
      <c r="I101" s="179">
        <f t="shared" si="38"/>
        <v>-5.144694533762062E-2</v>
      </c>
      <c r="J101" s="163">
        <f t="shared" si="37"/>
        <v>-32</v>
      </c>
      <c r="K101" s="165">
        <f t="shared" si="36"/>
        <v>2.4191392456549799E-4</v>
      </c>
    </row>
    <row r="102" spans="2:11" x14ac:dyDescent="0.25">
      <c r="B102" s="163" t="s">
        <v>124</v>
      </c>
      <c r="C102" s="164">
        <v>197</v>
      </c>
      <c r="D102" s="164">
        <v>434</v>
      </c>
      <c r="E102" s="164">
        <v>336</v>
      </c>
      <c r="F102" s="164">
        <v>539</v>
      </c>
      <c r="G102" s="164">
        <v>523</v>
      </c>
      <c r="H102" s="164">
        <v>491</v>
      </c>
      <c r="I102" s="179">
        <f t="shared" si="38"/>
        <v>-6.1185468451242842E-2</v>
      </c>
      <c r="J102" s="163">
        <f t="shared" si="37"/>
        <v>-32</v>
      </c>
      <c r="K102" s="165">
        <f t="shared" si="36"/>
        <v>2.0132158807060935E-4</v>
      </c>
    </row>
    <row r="103" spans="2:11" x14ac:dyDescent="0.25">
      <c r="B103" s="163" t="s">
        <v>133</v>
      </c>
      <c r="C103" s="164">
        <v>19</v>
      </c>
      <c r="D103" s="164">
        <v>190</v>
      </c>
      <c r="E103" s="164">
        <v>96</v>
      </c>
      <c r="F103" s="164">
        <v>161</v>
      </c>
      <c r="G103" s="164">
        <v>153</v>
      </c>
      <c r="H103" s="164">
        <v>123</v>
      </c>
      <c r="I103" s="179">
        <f t="shared" si="38"/>
        <v>-0.19607843137254899</v>
      </c>
      <c r="J103" s="163">
        <f t="shared" si="37"/>
        <v>-30</v>
      </c>
      <c r="K103" s="165">
        <f t="shared" si="36"/>
        <v>5.0432902917891951E-5</v>
      </c>
    </row>
    <row r="104" spans="2:11" x14ac:dyDescent="0.25">
      <c r="B104" s="163" t="s">
        <v>136</v>
      </c>
      <c r="C104" s="164">
        <v>44</v>
      </c>
      <c r="D104" s="164">
        <v>103</v>
      </c>
      <c r="E104" s="164">
        <v>164</v>
      </c>
      <c r="F104" s="164">
        <v>267</v>
      </c>
      <c r="G104" s="164">
        <v>149</v>
      </c>
      <c r="H104" s="164">
        <v>115</v>
      </c>
      <c r="I104" s="179">
        <f t="shared" si="38"/>
        <v>-0.22818791946308725</v>
      </c>
      <c r="J104" s="163">
        <f t="shared" si="37"/>
        <v>-34</v>
      </c>
      <c r="K104" s="165">
        <f t="shared" si="36"/>
        <v>4.7152714110224186E-5</v>
      </c>
    </row>
    <row r="105" spans="2:11" x14ac:dyDescent="0.25">
      <c r="B105" s="168" t="s">
        <v>150</v>
      </c>
      <c r="C105" s="169">
        <f t="shared" ref="C105:H105" si="39">C97-SUM(C98:C104)</f>
        <v>1792</v>
      </c>
      <c r="D105" s="169">
        <f t="shared" si="39"/>
        <v>3475</v>
      </c>
      <c r="E105" s="169">
        <f t="shared" si="39"/>
        <v>4596</v>
      </c>
      <c r="F105" s="169">
        <f t="shared" si="39"/>
        <v>4974</v>
      </c>
      <c r="G105" s="169">
        <f t="shared" si="39"/>
        <v>5212</v>
      </c>
      <c r="H105" s="169">
        <f t="shared" si="39"/>
        <v>4526</v>
      </c>
      <c r="I105" s="180">
        <f t="shared" si="38"/>
        <v>-0.13161933998465081</v>
      </c>
      <c r="J105" s="168">
        <f>H105-G105</f>
        <v>-686</v>
      </c>
      <c r="K105" s="170">
        <f t="shared" si="36"/>
        <v>1.8557668179380404E-3</v>
      </c>
    </row>
    <row r="106" spans="2:11" x14ac:dyDescent="0.25">
      <c r="B106" s="155" t="s">
        <v>52</v>
      </c>
      <c r="C106" s="153"/>
      <c r="D106" s="153"/>
      <c r="E106" s="153"/>
      <c r="F106" s="153"/>
      <c r="G106" s="153"/>
      <c r="H106" s="153"/>
      <c r="I106" s="154"/>
      <c r="J106" s="154"/>
      <c r="K106" s="153"/>
    </row>
    <row r="107" spans="2:11" x14ac:dyDescent="0.25">
      <c r="B107" s="156" t="s">
        <v>73</v>
      </c>
      <c r="C107" s="176">
        <f t="shared" ref="C107:H107" si="40">C108+C111</f>
        <v>40119</v>
      </c>
      <c r="D107" s="176">
        <f t="shared" si="40"/>
        <v>91892</v>
      </c>
      <c r="E107" s="176">
        <f t="shared" si="40"/>
        <v>130179</v>
      </c>
      <c r="F107" s="176">
        <f t="shared" si="40"/>
        <v>120964</v>
      </c>
      <c r="G107" s="176">
        <f t="shared" si="40"/>
        <v>131872</v>
      </c>
      <c r="H107" s="176">
        <f t="shared" si="40"/>
        <v>113182</v>
      </c>
      <c r="I107" s="177">
        <f>IFERROR(H107/G107-1,"-")</f>
        <v>-0.14172834263528267</v>
      </c>
      <c r="J107" s="176">
        <f>H107-G107</f>
        <v>-18690</v>
      </c>
      <c r="K107" s="177">
        <f t="shared" ref="K107:K119" si="41">H107/H$9</f>
        <v>4.6407291203681686E-2</v>
      </c>
    </row>
    <row r="108" spans="2:11" x14ac:dyDescent="0.25">
      <c r="B108" s="159" t="s">
        <v>102</v>
      </c>
      <c r="C108" s="160">
        <v>23621</v>
      </c>
      <c r="D108" s="160">
        <v>20119</v>
      </c>
      <c r="E108" s="160">
        <v>27482</v>
      </c>
      <c r="F108" s="160">
        <v>25067</v>
      </c>
      <c r="G108" s="160">
        <v>28025</v>
      </c>
      <c r="H108" s="160">
        <v>21901</v>
      </c>
      <c r="I108" s="178">
        <f>IFERROR(H108/G108-1,"-")</f>
        <v>-0.21851917930419273</v>
      </c>
      <c r="J108" s="159">
        <f t="shared" ref="J108:J118" si="42">H108-G108</f>
        <v>-6124</v>
      </c>
      <c r="K108" s="161">
        <f t="shared" si="41"/>
        <v>8.9799268845914774E-3</v>
      </c>
    </row>
    <row r="109" spans="2:11" x14ac:dyDescent="0.25">
      <c r="B109" s="163" t="s">
        <v>108</v>
      </c>
      <c r="C109" s="164">
        <v>14663</v>
      </c>
      <c r="D109" s="164">
        <v>5588</v>
      </c>
      <c r="E109" s="164">
        <v>10100</v>
      </c>
      <c r="F109" s="164">
        <v>6918</v>
      </c>
      <c r="G109" s="164">
        <v>9152</v>
      </c>
      <c r="H109" s="164">
        <v>12391</v>
      </c>
      <c r="I109" s="179">
        <f>IFERROR(H109/G109-1,"-")</f>
        <v>0.35391171328671334</v>
      </c>
      <c r="J109" s="163">
        <f t="shared" si="42"/>
        <v>3239</v>
      </c>
      <c r="K109" s="165">
        <f t="shared" si="41"/>
        <v>5.0806024394764162E-3</v>
      </c>
    </row>
    <row r="110" spans="2:11" x14ac:dyDescent="0.25">
      <c r="B110" s="163" t="s">
        <v>105</v>
      </c>
      <c r="C110" s="164">
        <v>8958</v>
      </c>
      <c r="D110" s="164">
        <v>14531</v>
      </c>
      <c r="E110" s="164">
        <v>17382</v>
      </c>
      <c r="F110" s="164">
        <v>18149</v>
      </c>
      <c r="G110" s="164">
        <v>18873</v>
      </c>
      <c r="H110" s="164">
        <v>9510</v>
      </c>
      <c r="I110" s="179">
        <f>IFERROR(H110/G110-1,"-")</f>
        <v>-0.49610554760769354</v>
      </c>
      <c r="J110" s="163">
        <f t="shared" si="42"/>
        <v>-9363</v>
      </c>
      <c r="K110" s="165">
        <f t="shared" si="41"/>
        <v>3.8993244451150607E-3</v>
      </c>
    </row>
    <row r="111" spans="2:11" x14ac:dyDescent="0.25">
      <c r="B111" s="159" t="s">
        <v>112</v>
      </c>
      <c r="C111" s="160">
        <v>16498</v>
      </c>
      <c r="D111" s="160">
        <v>71773</v>
      </c>
      <c r="E111" s="160">
        <v>102697</v>
      </c>
      <c r="F111" s="160">
        <v>95897</v>
      </c>
      <c r="G111" s="160">
        <v>103847</v>
      </c>
      <c r="H111" s="160">
        <v>91281</v>
      </c>
      <c r="I111" s="178">
        <f>IFERROR(H111/G111-1,"-")</f>
        <v>-0.12100493995974848</v>
      </c>
      <c r="J111" s="159">
        <f t="shared" si="42"/>
        <v>-12566</v>
      </c>
      <c r="K111" s="161">
        <f t="shared" si="41"/>
        <v>3.742736431909021E-2</v>
      </c>
    </row>
    <row r="112" spans="2:11" x14ac:dyDescent="0.25">
      <c r="B112" s="163" t="s">
        <v>115</v>
      </c>
      <c r="C112" s="164">
        <v>2558</v>
      </c>
      <c r="D112" s="164">
        <v>41536</v>
      </c>
      <c r="E112" s="164">
        <v>67050</v>
      </c>
      <c r="F112" s="164">
        <v>59434</v>
      </c>
      <c r="G112" s="164">
        <v>61942</v>
      </c>
      <c r="H112" s="164">
        <v>57507</v>
      </c>
      <c r="I112" s="179">
        <f t="shared" ref="I112:I119" si="43">IFERROR(H112/G112-1,"-")</f>
        <v>-7.1599237996835763E-2</v>
      </c>
      <c r="J112" s="163">
        <f t="shared" si="42"/>
        <v>-4435</v>
      </c>
      <c r="K112" s="165">
        <f t="shared" si="41"/>
        <v>2.3579227220318803E-2</v>
      </c>
    </row>
    <row r="113" spans="2:11" x14ac:dyDescent="0.25">
      <c r="B113" s="163" t="s">
        <v>118</v>
      </c>
      <c r="C113" s="164">
        <v>4023</v>
      </c>
      <c r="D113" s="164">
        <v>3443</v>
      </c>
      <c r="E113" s="164">
        <v>4626</v>
      </c>
      <c r="F113" s="164">
        <v>4236</v>
      </c>
      <c r="G113" s="164">
        <v>4964</v>
      </c>
      <c r="H113" s="164">
        <v>4261</v>
      </c>
      <c r="I113" s="179">
        <f t="shared" si="43"/>
        <v>-0.14161966156325545</v>
      </c>
      <c r="J113" s="163">
        <f t="shared" si="42"/>
        <v>-703</v>
      </c>
      <c r="K113" s="165">
        <f t="shared" si="41"/>
        <v>1.7471105636840457E-3</v>
      </c>
    </row>
    <row r="114" spans="2:11" x14ac:dyDescent="0.25">
      <c r="B114" s="163" t="s">
        <v>121</v>
      </c>
      <c r="C114" s="164">
        <v>3021</v>
      </c>
      <c r="D114" s="164">
        <v>4452</v>
      </c>
      <c r="E114" s="164">
        <v>8384</v>
      </c>
      <c r="F114" s="164">
        <v>6677</v>
      </c>
      <c r="G114" s="164">
        <v>8465</v>
      </c>
      <c r="H114" s="164">
        <v>7108</v>
      </c>
      <c r="I114" s="179">
        <f t="shared" si="43"/>
        <v>-0.16030714707619609</v>
      </c>
      <c r="J114" s="163">
        <f t="shared" si="42"/>
        <v>-1357</v>
      </c>
      <c r="K114" s="165">
        <f t="shared" si="41"/>
        <v>2.9144477556128129E-3</v>
      </c>
    </row>
    <row r="115" spans="2:11" x14ac:dyDescent="0.25">
      <c r="B115" s="163" t="s">
        <v>128</v>
      </c>
      <c r="C115" s="164">
        <v>1119</v>
      </c>
      <c r="D115" s="164">
        <v>3705</v>
      </c>
      <c r="E115" s="164">
        <v>3200</v>
      </c>
      <c r="F115" s="164">
        <v>3495</v>
      </c>
      <c r="G115" s="164">
        <v>3758</v>
      </c>
      <c r="H115" s="164">
        <v>1883</v>
      </c>
      <c r="I115" s="179">
        <f t="shared" si="43"/>
        <v>-0.49893560404470461</v>
      </c>
      <c r="J115" s="163">
        <f t="shared" si="42"/>
        <v>-1875</v>
      </c>
      <c r="K115" s="165">
        <f t="shared" si="41"/>
        <v>7.7207444060480121E-4</v>
      </c>
    </row>
    <row r="116" spans="2:11" x14ac:dyDescent="0.25">
      <c r="B116" s="163" t="s">
        <v>124</v>
      </c>
      <c r="C116" s="164">
        <v>1529</v>
      </c>
      <c r="D116" s="164">
        <v>2714</v>
      </c>
      <c r="E116" s="164">
        <v>3093</v>
      </c>
      <c r="F116" s="164">
        <v>2720</v>
      </c>
      <c r="G116" s="164">
        <v>2718</v>
      </c>
      <c r="H116" s="164">
        <v>1525</v>
      </c>
      <c r="I116" s="179">
        <f t="shared" si="43"/>
        <v>-0.4389256806475349</v>
      </c>
      <c r="J116" s="163">
        <f t="shared" si="42"/>
        <v>-1193</v>
      </c>
      <c r="K116" s="165">
        <f t="shared" si="41"/>
        <v>6.2528599146166857E-4</v>
      </c>
    </row>
    <row r="117" spans="2:11" x14ac:dyDescent="0.25">
      <c r="B117" s="163" t="s">
        <v>133</v>
      </c>
      <c r="C117" s="164">
        <v>31</v>
      </c>
      <c r="D117" s="164">
        <v>433</v>
      </c>
      <c r="E117" s="164">
        <v>739</v>
      </c>
      <c r="F117" s="164">
        <v>822</v>
      </c>
      <c r="G117" s="164">
        <v>811</v>
      </c>
      <c r="H117" s="164">
        <v>874</v>
      </c>
      <c r="I117" s="179">
        <f t="shared" si="43"/>
        <v>7.7681874229346581E-2</v>
      </c>
      <c r="J117" s="163">
        <f t="shared" si="42"/>
        <v>63</v>
      </c>
      <c r="K117" s="165">
        <f t="shared" si="41"/>
        <v>3.5836062723770378E-4</v>
      </c>
    </row>
    <row r="118" spans="2:11" x14ac:dyDescent="0.25">
      <c r="B118" s="163" t="s">
        <v>136</v>
      </c>
      <c r="C118" s="164">
        <v>17</v>
      </c>
      <c r="D118" s="164">
        <v>628</v>
      </c>
      <c r="E118" s="164">
        <v>383</v>
      </c>
      <c r="F118" s="164">
        <v>1041</v>
      </c>
      <c r="G118" s="164">
        <v>667</v>
      </c>
      <c r="H118" s="164">
        <v>809</v>
      </c>
      <c r="I118" s="179">
        <f t="shared" si="43"/>
        <v>0.21289355322338821</v>
      </c>
      <c r="J118" s="163">
        <f t="shared" si="42"/>
        <v>142</v>
      </c>
      <c r="K118" s="165">
        <f t="shared" si="41"/>
        <v>3.3170909317540318E-4</v>
      </c>
    </row>
    <row r="119" spans="2:11" x14ac:dyDescent="0.25">
      <c r="B119" s="168" t="s">
        <v>150</v>
      </c>
      <c r="C119" s="169">
        <f t="shared" ref="C119:H119" si="44">C111-SUM(C112:C118)</f>
        <v>4200</v>
      </c>
      <c r="D119" s="169">
        <f t="shared" si="44"/>
        <v>14862</v>
      </c>
      <c r="E119" s="169">
        <f t="shared" si="44"/>
        <v>15222</v>
      </c>
      <c r="F119" s="169">
        <f t="shared" si="44"/>
        <v>17472</v>
      </c>
      <c r="G119" s="169">
        <f t="shared" si="44"/>
        <v>20522</v>
      </c>
      <c r="H119" s="169">
        <f t="shared" si="44"/>
        <v>17314</v>
      </c>
      <c r="I119" s="180">
        <f t="shared" si="43"/>
        <v>-0.15632004677906641</v>
      </c>
      <c r="J119" s="168">
        <f>H119-G119</f>
        <v>-3208</v>
      </c>
      <c r="K119" s="170">
        <f t="shared" si="41"/>
        <v>7.0991486269949694E-3</v>
      </c>
    </row>
    <row r="120" spans="2:11" x14ac:dyDescent="0.25">
      <c r="B120" s="155" t="s">
        <v>53</v>
      </c>
      <c r="C120" s="153"/>
      <c r="D120" s="153"/>
      <c r="E120" s="153"/>
      <c r="F120" s="153"/>
      <c r="G120" s="153"/>
      <c r="H120" s="153"/>
      <c r="I120" s="154"/>
      <c r="J120" s="154"/>
      <c r="K120" s="153"/>
    </row>
    <row r="121" spans="2:11" x14ac:dyDescent="0.25">
      <c r="B121" s="156" t="s">
        <v>73</v>
      </c>
      <c r="C121" s="176">
        <f t="shared" ref="C121:H121" si="45">C122+C125</f>
        <v>73201</v>
      </c>
      <c r="D121" s="176">
        <f t="shared" si="45"/>
        <v>122504</v>
      </c>
      <c r="E121" s="176">
        <f t="shared" si="45"/>
        <v>144321</v>
      </c>
      <c r="F121" s="176">
        <f t="shared" si="45"/>
        <v>146578</v>
      </c>
      <c r="G121" s="176">
        <f t="shared" si="45"/>
        <v>164634</v>
      </c>
      <c r="H121" s="176">
        <f t="shared" si="45"/>
        <v>168537</v>
      </c>
      <c r="I121" s="177">
        <f>IFERROR(H121/G121-1,"-")</f>
        <v>2.3707132184117574E-2</v>
      </c>
      <c r="J121" s="176">
        <f>H121-G121</f>
        <v>3903</v>
      </c>
      <c r="K121" s="177">
        <f t="shared" ref="K121:K133" si="46">H121/H$9</f>
        <v>6.910414763473785E-2</v>
      </c>
    </row>
    <row r="122" spans="2:11" x14ac:dyDescent="0.25">
      <c r="B122" s="159" t="s">
        <v>102</v>
      </c>
      <c r="C122" s="160">
        <v>48582</v>
      </c>
      <c r="D122" s="160">
        <v>75501</v>
      </c>
      <c r="E122" s="160">
        <v>88976</v>
      </c>
      <c r="F122" s="160">
        <v>91656</v>
      </c>
      <c r="G122" s="160">
        <v>105634</v>
      </c>
      <c r="H122" s="160">
        <v>105943</v>
      </c>
      <c r="I122" s="178">
        <f>IFERROR(H122/G122-1,"-")</f>
        <v>2.9251945396369106E-3</v>
      </c>
      <c r="J122" s="159">
        <f t="shared" ref="J122:J132" si="47">H122-G122</f>
        <v>309</v>
      </c>
      <c r="K122" s="161">
        <f t="shared" si="46"/>
        <v>4.3439130356343308E-2</v>
      </c>
    </row>
    <row r="123" spans="2:11" x14ac:dyDescent="0.25">
      <c r="B123" s="163" t="s">
        <v>108</v>
      </c>
      <c r="C123" s="164">
        <v>25464</v>
      </c>
      <c r="D123" s="164">
        <v>38799</v>
      </c>
      <c r="E123" s="164">
        <v>40952</v>
      </c>
      <c r="F123" s="164">
        <v>43382</v>
      </c>
      <c r="G123" s="164">
        <v>55226</v>
      </c>
      <c r="H123" s="164">
        <v>55216</v>
      </c>
      <c r="I123" s="179">
        <f>IFERROR(H123/G123-1,"-")</f>
        <v>-1.8107413174950349E-4</v>
      </c>
      <c r="J123" s="163">
        <f t="shared" si="47"/>
        <v>-10</v>
      </c>
      <c r="K123" s="165">
        <f t="shared" si="46"/>
        <v>2.2639863150522944E-2</v>
      </c>
    </row>
    <row r="124" spans="2:11" x14ac:dyDescent="0.25">
      <c r="B124" s="163" t="s">
        <v>105</v>
      </c>
      <c r="C124" s="164">
        <v>23118</v>
      </c>
      <c r="D124" s="164">
        <v>36702</v>
      </c>
      <c r="E124" s="164">
        <v>48024</v>
      </c>
      <c r="F124" s="164">
        <v>48274</v>
      </c>
      <c r="G124" s="164">
        <v>50408</v>
      </c>
      <c r="H124" s="164">
        <v>50727</v>
      </c>
      <c r="I124" s="179">
        <f>IFERROR(H124/G124-1,"-")</f>
        <v>6.328360577686043E-3</v>
      </c>
      <c r="J124" s="163">
        <f t="shared" si="47"/>
        <v>319</v>
      </c>
      <c r="K124" s="165">
        <f t="shared" si="46"/>
        <v>2.0799267205820367E-2</v>
      </c>
    </row>
    <row r="125" spans="2:11" x14ac:dyDescent="0.25">
      <c r="B125" s="159" t="s">
        <v>112</v>
      </c>
      <c r="C125" s="160">
        <v>24619</v>
      </c>
      <c r="D125" s="160">
        <v>47003</v>
      </c>
      <c r="E125" s="160">
        <v>55345</v>
      </c>
      <c r="F125" s="160">
        <v>54922</v>
      </c>
      <c r="G125" s="160">
        <v>59000</v>
      </c>
      <c r="H125" s="160">
        <v>62594</v>
      </c>
      <c r="I125" s="178">
        <f>IFERROR(H125/G125-1,"-")</f>
        <v>6.0915254237288163E-2</v>
      </c>
      <c r="J125" s="159">
        <f t="shared" si="47"/>
        <v>3594</v>
      </c>
      <c r="K125" s="161">
        <f t="shared" si="46"/>
        <v>2.5665017278394545E-2</v>
      </c>
    </row>
    <row r="126" spans="2:11" x14ac:dyDescent="0.25">
      <c r="B126" s="163" t="s">
        <v>115</v>
      </c>
      <c r="C126" s="164">
        <v>789</v>
      </c>
      <c r="D126" s="164">
        <v>4796</v>
      </c>
      <c r="E126" s="164">
        <v>6703</v>
      </c>
      <c r="F126" s="164">
        <v>6665</v>
      </c>
      <c r="G126" s="164">
        <v>6109</v>
      </c>
      <c r="H126" s="164">
        <v>5857</v>
      </c>
      <c r="I126" s="179">
        <f t="shared" ref="I126:I133" si="48">IFERROR(H126/G126-1,"-")</f>
        <v>-4.1250613848420326E-2</v>
      </c>
      <c r="J126" s="163">
        <f t="shared" si="47"/>
        <v>-252</v>
      </c>
      <c r="K126" s="165">
        <f t="shared" si="46"/>
        <v>2.4015082308137658E-3</v>
      </c>
    </row>
    <row r="127" spans="2:11" x14ac:dyDescent="0.25">
      <c r="B127" s="163" t="s">
        <v>118</v>
      </c>
      <c r="C127" s="164">
        <v>2583</v>
      </c>
      <c r="D127" s="164">
        <v>5107</v>
      </c>
      <c r="E127" s="164">
        <v>8112</v>
      </c>
      <c r="F127" s="164">
        <v>7676</v>
      </c>
      <c r="G127" s="164">
        <v>8533</v>
      </c>
      <c r="H127" s="164">
        <v>9137</v>
      </c>
      <c r="I127" s="179">
        <f t="shared" si="48"/>
        <v>7.0784015000586065E-2</v>
      </c>
      <c r="J127" s="163">
        <f t="shared" si="47"/>
        <v>604</v>
      </c>
      <c r="K127" s="165">
        <f t="shared" si="46"/>
        <v>3.746385641957551E-3</v>
      </c>
    </row>
    <row r="128" spans="2:11" x14ac:dyDescent="0.25">
      <c r="B128" s="163" t="s">
        <v>121</v>
      </c>
      <c r="C128" s="164">
        <v>3475</v>
      </c>
      <c r="D128" s="164">
        <v>4441</v>
      </c>
      <c r="E128" s="164">
        <v>4979</v>
      </c>
      <c r="F128" s="164">
        <v>4602</v>
      </c>
      <c r="G128" s="164">
        <v>5028</v>
      </c>
      <c r="H128" s="164">
        <v>5094</v>
      </c>
      <c r="I128" s="179">
        <f t="shared" si="48"/>
        <v>1.3126491646778149E-2</v>
      </c>
      <c r="J128" s="163">
        <f t="shared" si="47"/>
        <v>66</v>
      </c>
      <c r="K128" s="165">
        <f t="shared" si="46"/>
        <v>2.088660223282452E-3</v>
      </c>
    </row>
    <row r="129" spans="2:11" x14ac:dyDescent="0.25">
      <c r="B129" s="163" t="s">
        <v>128</v>
      </c>
      <c r="C129" s="164">
        <v>444</v>
      </c>
      <c r="D129" s="164">
        <v>1275</v>
      </c>
      <c r="E129" s="164">
        <v>1516</v>
      </c>
      <c r="F129" s="164">
        <v>1395</v>
      </c>
      <c r="G129" s="164">
        <v>1505</v>
      </c>
      <c r="H129" s="164">
        <v>1751</v>
      </c>
      <c r="I129" s="179">
        <f t="shared" si="48"/>
        <v>0.16345514950166118</v>
      </c>
      <c r="J129" s="163">
        <f t="shared" si="47"/>
        <v>246</v>
      </c>
      <c r="K129" s="165">
        <f t="shared" si="46"/>
        <v>7.1795132527828303E-4</v>
      </c>
    </row>
    <row r="130" spans="2:11" x14ac:dyDescent="0.25">
      <c r="B130" s="163" t="s">
        <v>124</v>
      </c>
      <c r="C130" s="164">
        <v>388</v>
      </c>
      <c r="D130" s="164">
        <v>986</v>
      </c>
      <c r="E130" s="164">
        <v>1076</v>
      </c>
      <c r="F130" s="164">
        <v>1142</v>
      </c>
      <c r="G130" s="164">
        <v>1313</v>
      </c>
      <c r="H130" s="164">
        <v>1338</v>
      </c>
      <c r="I130" s="179">
        <f t="shared" si="48"/>
        <v>1.9040365575019091E-2</v>
      </c>
      <c r="J130" s="163">
        <f t="shared" si="47"/>
        <v>25</v>
      </c>
      <c r="K130" s="165">
        <f t="shared" si="46"/>
        <v>5.4861157808243442E-4</v>
      </c>
    </row>
    <row r="131" spans="2:11" x14ac:dyDescent="0.25">
      <c r="B131" s="163" t="s">
        <v>133</v>
      </c>
      <c r="C131" s="164">
        <v>61</v>
      </c>
      <c r="D131" s="164">
        <v>602</v>
      </c>
      <c r="E131" s="164">
        <v>801</v>
      </c>
      <c r="F131" s="164">
        <v>904</v>
      </c>
      <c r="G131" s="164">
        <v>707</v>
      </c>
      <c r="H131" s="164">
        <v>527</v>
      </c>
      <c r="I131" s="179">
        <f t="shared" si="48"/>
        <v>-0.25459688826025462</v>
      </c>
      <c r="J131" s="163">
        <f t="shared" si="47"/>
        <v>-180</v>
      </c>
      <c r="K131" s="165">
        <f t="shared" si="46"/>
        <v>2.160824377051143E-4</v>
      </c>
    </row>
    <row r="132" spans="2:11" x14ac:dyDescent="0.25">
      <c r="B132" s="163" t="s">
        <v>136</v>
      </c>
      <c r="C132" s="164">
        <v>166</v>
      </c>
      <c r="D132" s="164">
        <v>1056</v>
      </c>
      <c r="E132" s="164">
        <v>1493</v>
      </c>
      <c r="F132" s="164">
        <v>1374</v>
      </c>
      <c r="G132" s="164">
        <v>1418</v>
      </c>
      <c r="H132" s="164">
        <v>1273</v>
      </c>
      <c r="I132" s="179">
        <f t="shared" si="48"/>
        <v>-0.10225669957686878</v>
      </c>
      <c r="J132" s="163">
        <f t="shared" si="47"/>
        <v>-145</v>
      </c>
      <c r="K132" s="165">
        <f t="shared" si="46"/>
        <v>5.2196004402013381E-4</v>
      </c>
    </row>
    <row r="133" spans="2:11" x14ac:dyDescent="0.25">
      <c r="B133" s="168" t="s">
        <v>150</v>
      </c>
      <c r="C133" s="169">
        <f t="shared" ref="C133:H133" si="49">C125-SUM(C126:C132)</f>
        <v>16713</v>
      </c>
      <c r="D133" s="169">
        <f t="shared" si="49"/>
        <v>28740</v>
      </c>
      <c r="E133" s="169">
        <f t="shared" si="49"/>
        <v>30665</v>
      </c>
      <c r="F133" s="169">
        <f t="shared" si="49"/>
        <v>31164</v>
      </c>
      <c r="G133" s="169">
        <f t="shared" si="49"/>
        <v>34387</v>
      </c>
      <c r="H133" s="169">
        <f t="shared" si="49"/>
        <v>37617</v>
      </c>
      <c r="I133" s="180">
        <f t="shared" si="48"/>
        <v>9.3930845959228737E-2</v>
      </c>
      <c r="J133" s="168">
        <f>H133-G133</f>
        <v>3230</v>
      </c>
      <c r="K133" s="170">
        <f t="shared" si="46"/>
        <v>1.542385779725481E-2</v>
      </c>
    </row>
    <row r="134" spans="2:11" x14ac:dyDescent="0.25">
      <c r="B134" s="155" t="s">
        <v>54</v>
      </c>
      <c r="C134" s="153"/>
      <c r="D134" s="153"/>
      <c r="E134" s="153"/>
      <c r="F134" s="153"/>
      <c r="G134" s="153"/>
      <c r="H134" s="153"/>
      <c r="I134" s="154"/>
      <c r="J134" s="154"/>
      <c r="K134" s="153"/>
    </row>
    <row r="135" spans="2:11" x14ac:dyDescent="0.25">
      <c r="B135" s="156" t="s">
        <v>73</v>
      </c>
      <c r="C135" s="176">
        <f t="shared" ref="C135:H135" si="50">C136+C139</f>
        <v>35882</v>
      </c>
      <c r="D135" s="176">
        <f t="shared" si="50"/>
        <v>119890</v>
      </c>
      <c r="E135" s="176">
        <f t="shared" si="50"/>
        <v>132625</v>
      </c>
      <c r="F135" s="176">
        <f t="shared" si="50"/>
        <v>139053</v>
      </c>
      <c r="G135" s="176">
        <f t="shared" si="50"/>
        <v>133356</v>
      </c>
      <c r="H135" s="176">
        <f t="shared" si="50"/>
        <v>138660</v>
      </c>
      <c r="I135" s="177">
        <f>IFERROR(H135/G135-1,"-")</f>
        <v>3.9773238549446699E-2</v>
      </c>
      <c r="J135" s="176">
        <f>H135-G135</f>
        <v>5304</v>
      </c>
      <c r="K135" s="177">
        <f t="shared" ref="K135:K147" si="51">H135/H$9</f>
        <v>5.6853872508901615E-2</v>
      </c>
    </row>
    <row r="136" spans="2:11" x14ac:dyDescent="0.25">
      <c r="B136" s="159" t="s">
        <v>102</v>
      </c>
      <c r="C136" s="160">
        <v>19613</v>
      </c>
      <c r="D136" s="160">
        <v>11190</v>
      </c>
      <c r="E136" s="160">
        <v>15459</v>
      </c>
      <c r="F136" s="160">
        <v>11032</v>
      </c>
      <c r="G136" s="160">
        <v>11189</v>
      </c>
      <c r="H136" s="160">
        <v>17047</v>
      </c>
      <c r="I136" s="178">
        <f>IFERROR(H136/G136-1,"-")</f>
        <v>0.52354991509518278</v>
      </c>
      <c r="J136" s="159">
        <f t="shared" ref="J136:J146" si="52">H136-G136</f>
        <v>5858</v>
      </c>
      <c r="K136" s="161">
        <f t="shared" si="51"/>
        <v>6.9896723255390581E-3</v>
      </c>
    </row>
    <row r="137" spans="2:11" x14ac:dyDescent="0.25">
      <c r="B137" s="163" t="s">
        <v>108</v>
      </c>
      <c r="C137" s="164">
        <v>16017</v>
      </c>
      <c r="D137" s="164">
        <v>7520</v>
      </c>
      <c r="E137" s="164">
        <v>10533</v>
      </c>
      <c r="F137" s="164">
        <v>7092</v>
      </c>
      <c r="G137" s="164">
        <v>6412</v>
      </c>
      <c r="H137" s="164">
        <v>11136</v>
      </c>
      <c r="I137" s="179">
        <f>IFERROR(H137/G137-1,"-")</f>
        <v>0.73674360573923892</v>
      </c>
      <c r="J137" s="163">
        <f t="shared" si="52"/>
        <v>4724</v>
      </c>
      <c r="K137" s="165">
        <f t="shared" si="51"/>
        <v>4.5660228202735352E-3</v>
      </c>
    </row>
    <row r="138" spans="2:11" x14ac:dyDescent="0.25">
      <c r="B138" s="163" t="s">
        <v>105</v>
      </c>
      <c r="C138" s="164">
        <v>3596</v>
      </c>
      <c r="D138" s="164">
        <v>3670</v>
      </c>
      <c r="E138" s="164">
        <v>4926</v>
      </c>
      <c r="F138" s="164">
        <v>3940</v>
      </c>
      <c r="G138" s="164">
        <v>4777</v>
      </c>
      <c r="H138" s="164">
        <v>5911</v>
      </c>
      <c r="I138" s="179">
        <f>IFERROR(H138/G138-1,"-")</f>
        <v>0.23738748168306478</v>
      </c>
      <c r="J138" s="163">
        <f t="shared" si="52"/>
        <v>1134</v>
      </c>
      <c r="K138" s="165">
        <f t="shared" si="51"/>
        <v>2.4236495052655229E-3</v>
      </c>
    </row>
    <row r="139" spans="2:11" x14ac:dyDescent="0.25">
      <c r="B139" s="159" t="s">
        <v>112</v>
      </c>
      <c r="C139" s="160">
        <v>16269</v>
      </c>
      <c r="D139" s="160">
        <v>108700</v>
      </c>
      <c r="E139" s="160">
        <v>117166</v>
      </c>
      <c r="F139" s="160">
        <v>128021</v>
      </c>
      <c r="G139" s="160">
        <v>122167</v>
      </c>
      <c r="H139" s="160">
        <v>121613</v>
      </c>
      <c r="I139" s="178">
        <f>IFERROR(H139/G139-1,"-")</f>
        <v>-4.5347761670500031E-3</v>
      </c>
      <c r="J139" s="159">
        <f t="shared" si="52"/>
        <v>-554</v>
      </c>
      <c r="K139" s="161">
        <f t="shared" si="51"/>
        <v>4.9864200183362552E-2</v>
      </c>
    </row>
    <row r="140" spans="2:11" x14ac:dyDescent="0.25">
      <c r="B140" s="163" t="s">
        <v>115</v>
      </c>
      <c r="C140" s="164">
        <v>853</v>
      </c>
      <c r="D140" s="164">
        <v>46052</v>
      </c>
      <c r="E140" s="164">
        <v>48980</v>
      </c>
      <c r="F140" s="164">
        <v>56831</v>
      </c>
      <c r="G140" s="164">
        <v>56099</v>
      </c>
      <c r="H140" s="164">
        <v>52435</v>
      </c>
      <c r="I140" s="179">
        <f t="shared" ref="I140:I147" si="53">IFERROR(H140/G140-1,"-")</f>
        <v>-6.531310718551131E-2</v>
      </c>
      <c r="J140" s="163">
        <f t="shared" si="52"/>
        <v>-3664</v>
      </c>
      <c r="K140" s="165">
        <f t="shared" si="51"/>
        <v>2.1499587516257437E-2</v>
      </c>
    </row>
    <row r="141" spans="2:11" x14ac:dyDescent="0.25">
      <c r="B141" s="163" t="s">
        <v>118</v>
      </c>
      <c r="C141" s="164">
        <v>1834</v>
      </c>
      <c r="D141" s="164">
        <v>6940</v>
      </c>
      <c r="E141" s="164">
        <v>10335</v>
      </c>
      <c r="F141" s="164">
        <v>11253</v>
      </c>
      <c r="G141" s="164">
        <v>10426</v>
      </c>
      <c r="H141" s="164">
        <v>10557</v>
      </c>
      <c r="I141" s="179">
        <f t="shared" si="53"/>
        <v>1.2564741991175854E-2</v>
      </c>
      <c r="J141" s="163">
        <f t="shared" si="52"/>
        <v>131</v>
      </c>
      <c r="K141" s="165">
        <f t="shared" si="51"/>
        <v>4.3286191553185797E-3</v>
      </c>
    </row>
    <row r="142" spans="2:11" x14ac:dyDescent="0.25">
      <c r="B142" s="163" t="s">
        <v>121</v>
      </c>
      <c r="C142" s="164">
        <v>4650</v>
      </c>
      <c r="D142" s="164">
        <v>14157</v>
      </c>
      <c r="E142" s="164">
        <v>12620</v>
      </c>
      <c r="F142" s="164">
        <v>13006</v>
      </c>
      <c r="G142" s="164">
        <v>11080</v>
      </c>
      <c r="H142" s="164">
        <v>11890</v>
      </c>
      <c r="I142" s="179">
        <f t="shared" si="53"/>
        <v>7.3104693140794152E-2</v>
      </c>
      <c r="J142" s="163">
        <f t="shared" si="52"/>
        <v>810</v>
      </c>
      <c r="K142" s="165">
        <f t="shared" si="51"/>
        <v>4.8751806153962225E-3</v>
      </c>
    </row>
    <row r="143" spans="2:11" x14ac:dyDescent="0.25">
      <c r="B143" s="163" t="s">
        <v>128</v>
      </c>
      <c r="C143" s="164">
        <v>260</v>
      </c>
      <c r="D143" s="164">
        <v>4854</v>
      </c>
      <c r="E143" s="164">
        <v>4195</v>
      </c>
      <c r="F143" s="164">
        <v>3077</v>
      </c>
      <c r="G143" s="164">
        <v>2738</v>
      </c>
      <c r="H143" s="164">
        <v>2149</v>
      </c>
      <c r="I143" s="179">
        <f t="shared" si="53"/>
        <v>-0.21512052593133679</v>
      </c>
      <c r="J143" s="163">
        <f t="shared" si="52"/>
        <v>-589</v>
      </c>
      <c r="K143" s="165">
        <f t="shared" si="51"/>
        <v>8.8114071845975456E-4</v>
      </c>
    </row>
    <row r="144" spans="2:11" x14ac:dyDescent="0.25">
      <c r="B144" s="163" t="s">
        <v>124</v>
      </c>
      <c r="C144" s="164">
        <v>583</v>
      </c>
      <c r="D144" s="164">
        <v>2150</v>
      </c>
      <c r="E144" s="164">
        <v>2669</v>
      </c>
      <c r="F144" s="164">
        <v>3146</v>
      </c>
      <c r="G144" s="164">
        <v>2202</v>
      </c>
      <c r="H144" s="164">
        <v>2424</v>
      </c>
      <c r="I144" s="179">
        <f t="shared" si="53"/>
        <v>0.10081743869209814</v>
      </c>
      <c r="J144" s="163">
        <f t="shared" si="52"/>
        <v>222</v>
      </c>
      <c r="K144" s="165">
        <f t="shared" si="51"/>
        <v>9.9389720872333407E-4</v>
      </c>
    </row>
    <row r="145" spans="2:11" x14ac:dyDescent="0.25">
      <c r="B145" s="163" t="s">
        <v>133</v>
      </c>
      <c r="C145" s="164">
        <v>34</v>
      </c>
      <c r="D145" s="164">
        <v>1640</v>
      </c>
      <c r="E145" s="164">
        <v>1953</v>
      </c>
      <c r="F145" s="164">
        <v>1779</v>
      </c>
      <c r="G145" s="164">
        <v>2022</v>
      </c>
      <c r="H145" s="164">
        <v>1523</v>
      </c>
      <c r="I145" s="179">
        <f t="shared" si="53"/>
        <v>-0.24678536102868442</v>
      </c>
      <c r="J145" s="163">
        <f t="shared" si="52"/>
        <v>-499</v>
      </c>
      <c r="K145" s="165">
        <f t="shared" si="51"/>
        <v>6.244659442597516E-4</v>
      </c>
    </row>
    <row r="146" spans="2:11" x14ac:dyDescent="0.25">
      <c r="B146" s="163" t="s">
        <v>136</v>
      </c>
      <c r="C146" s="164">
        <v>43</v>
      </c>
      <c r="D146" s="164">
        <v>735</v>
      </c>
      <c r="E146" s="164">
        <v>1306</v>
      </c>
      <c r="F146" s="164">
        <v>1263</v>
      </c>
      <c r="G146" s="164">
        <v>823</v>
      </c>
      <c r="H146" s="164">
        <v>773</v>
      </c>
      <c r="I146" s="179">
        <f t="shared" si="53"/>
        <v>-6.0753341433778862E-2</v>
      </c>
      <c r="J146" s="163">
        <f t="shared" si="52"/>
        <v>-50</v>
      </c>
      <c r="K146" s="165">
        <f t="shared" si="51"/>
        <v>3.1694824354089822E-4</v>
      </c>
    </row>
    <row r="147" spans="2:11" x14ac:dyDescent="0.25">
      <c r="B147" s="168" t="s">
        <v>150</v>
      </c>
      <c r="C147" s="169">
        <f t="shared" ref="C147:H147" si="54">C139-SUM(C140:C146)</f>
        <v>8012</v>
      </c>
      <c r="D147" s="169">
        <f t="shared" si="54"/>
        <v>32172</v>
      </c>
      <c r="E147" s="169">
        <f t="shared" si="54"/>
        <v>35108</v>
      </c>
      <c r="F147" s="169">
        <f t="shared" si="54"/>
        <v>37666</v>
      </c>
      <c r="G147" s="169">
        <f t="shared" si="54"/>
        <v>36777</v>
      </c>
      <c r="H147" s="169">
        <f t="shared" si="54"/>
        <v>39862</v>
      </c>
      <c r="I147" s="180">
        <f t="shared" si="53"/>
        <v>8.3883949207385067E-2</v>
      </c>
      <c r="J147" s="168">
        <f>H147-G147</f>
        <v>3085</v>
      </c>
      <c r="K147" s="170">
        <f t="shared" si="51"/>
        <v>1.6344360781406577E-2</v>
      </c>
    </row>
    <row r="148" spans="2:11" x14ac:dyDescent="0.25">
      <c r="B148" s="155" t="s">
        <v>55</v>
      </c>
      <c r="C148" s="153"/>
      <c r="D148" s="153"/>
      <c r="E148" s="153"/>
      <c r="F148" s="153"/>
      <c r="G148" s="153"/>
      <c r="H148" s="153"/>
      <c r="I148" s="154"/>
      <c r="J148" s="154"/>
      <c r="K148" s="153"/>
    </row>
    <row r="149" spans="2:11" x14ac:dyDescent="0.25">
      <c r="B149" s="156" t="s">
        <v>73</v>
      </c>
      <c r="C149" s="176">
        <f t="shared" ref="C149:H149" si="55">C150+C153</f>
        <v>29252</v>
      </c>
      <c r="D149" s="176">
        <f t="shared" si="55"/>
        <v>60084</v>
      </c>
      <c r="E149" s="176">
        <f t="shared" si="55"/>
        <v>63430</v>
      </c>
      <c r="F149" s="176">
        <f t="shared" si="55"/>
        <v>67229</v>
      </c>
      <c r="G149" s="176">
        <f t="shared" si="55"/>
        <v>63525</v>
      </c>
      <c r="H149" s="176">
        <f t="shared" si="55"/>
        <v>54238</v>
      </c>
      <c r="I149" s="177">
        <f>IFERROR(H149/G149-1,"-")</f>
        <v>-0.14619441164895708</v>
      </c>
      <c r="J149" s="176">
        <f>H149-G149</f>
        <v>-9287</v>
      </c>
      <c r="K149" s="177">
        <f t="shared" ref="K149:K161" si="56">H149/H$9</f>
        <v>2.223886006878556E-2</v>
      </c>
    </row>
    <row r="150" spans="2:11" x14ac:dyDescent="0.25">
      <c r="B150" s="159" t="s">
        <v>102</v>
      </c>
      <c r="C150" s="160">
        <v>19696</v>
      </c>
      <c r="D150" s="160">
        <v>32362</v>
      </c>
      <c r="E150" s="160">
        <v>33178</v>
      </c>
      <c r="F150" s="160">
        <v>31381</v>
      </c>
      <c r="G150" s="160">
        <v>27489</v>
      </c>
      <c r="H150" s="160">
        <v>19424</v>
      </c>
      <c r="I150" s="178">
        <f>IFERROR(H150/G150-1,"-")</f>
        <v>-0.29339008330604965</v>
      </c>
      <c r="J150" s="159">
        <f t="shared" ref="J150:J160" si="57">H150-G150</f>
        <v>-8065</v>
      </c>
      <c r="K150" s="161">
        <f t="shared" si="56"/>
        <v>7.9642984250173441E-3</v>
      </c>
    </row>
    <row r="151" spans="2:11" x14ac:dyDescent="0.25">
      <c r="B151" s="163" t="s">
        <v>108</v>
      </c>
      <c r="C151" s="164">
        <v>16871</v>
      </c>
      <c r="D151" s="164">
        <v>23109</v>
      </c>
      <c r="E151" s="164">
        <v>23911</v>
      </c>
      <c r="F151" s="164">
        <v>22049</v>
      </c>
      <c r="G151" s="164">
        <v>17905</v>
      </c>
      <c r="H151" s="164">
        <v>8330</v>
      </c>
      <c r="I151" s="179">
        <f>IFERROR(H151/G151-1,"-")</f>
        <v>-0.53476682490924321</v>
      </c>
      <c r="J151" s="163">
        <f t="shared" si="57"/>
        <v>-9575</v>
      </c>
      <c r="K151" s="165">
        <f t="shared" si="56"/>
        <v>3.4154965959840647E-3</v>
      </c>
    </row>
    <row r="152" spans="2:11" x14ac:dyDescent="0.25">
      <c r="B152" s="163" t="s">
        <v>105</v>
      </c>
      <c r="C152" s="164">
        <v>2825</v>
      </c>
      <c r="D152" s="164">
        <v>9253</v>
      </c>
      <c r="E152" s="164">
        <v>9267</v>
      </c>
      <c r="F152" s="164">
        <v>9332</v>
      </c>
      <c r="G152" s="164">
        <v>9584</v>
      </c>
      <c r="H152" s="164">
        <v>11094</v>
      </c>
      <c r="I152" s="179">
        <f>IFERROR(H152/G152-1,"-")</f>
        <v>0.15755425709515869</v>
      </c>
      <c r="J152" s="163">
        <f t="shared" si="57"/>
        <v>1510</v>
      </c>
      <c r="K152" s="165">
        <f t="shared" si="56"/>
        <v>4.5488018290332794E-3</v>
      </c>
    </row>
    <row r="153" spans="2:11" x14ac:dyDescent="0.25">
      <c r="B153" s="159" t="s">
        <v>112</v>
      </c>
      <c r="C153" s="160">
        <v>9556</v>
      </c>
      <c r="D153" s="160">
        <v>27722</v>
      </c>
      <c r="E153" s="160">
        <v>30252</v>
      </c>
      <c r="F153" s="160">
        <v>35848</v>
      </c>
      <c r="G153" s="160">
        <v>36036</v>
      </c>
      <c r="H153" s="160">
        <v>34814</v>
      </c>
      <c r="I153" s="178">
        <f>IFERROR(H153/G153-1,"-")</f>
        <v>-3.3910533910533891E-2</v>
      </c>
      <c r="J153" s="159">
        <f t="shared" si="57"/>
        <v>-1222</v>
      </c>
      <c r="K153" s="161">
        <f t="shared" si="56"/>
        <v>1.4274561643768216E-2</v>
      </c>
    </row>
    <row r="154" spans="2:11" x14ac:dyDescent="0.25">
      <c r="B154" s="163" t="s">
        <v>115</v>
      </c>
      <c r="C154" s="164">
        <v>460</v>
      </c>
      <c r="D154" s="164">
        <v>10475</v>
      </c>
      <c r="E154" s="164">
        <v>10614</v>
      </c>
      <c r="F154" s="164">
        <v>11900</v>
      </c>
      <c r="G154" s="164">
        <v>10154</v>
      </c>
      <c r="H154" s="164">
        <v>11188</v>
      </c>
      <c r="I154" s="179">
        <f t="shared" ref="I154:I161" si="58">IFERROR(H154/G154-1,"-")</f>
        <v>0.10183179042741775</v>
      </c>
      <c r="J154" s="163">
        <f t="shared" si="57"/>
        <v>1034</v>
      </c>
      <c r="K154" s="165">
        <f t="shared" si="56"/>
        <v>4.5873440475233751E-3</v>
      </c>
    </row>
    <row r="155" spans="2:11" x14ac:dyDescent="0.25">
      <c r="B155" s="163" t="s">
        <v>118</v>
      </c>
      <c r="C155" s="164">
        <v>1758</v>
      </c>
      <c r="D155" s="164">
        <v>5515</v>
      </c>
      <c r="E155" s="164">
        <v>5549</v>
      </c>
      <c r="F155" s="164">
        <v>5644</v>
      </c>
      <c r="G155" s="164">
        <v>5617</v>
      </c>
      <c r="H155" s="164">
        <v>5464</v>
      </c>
      <c r="I155" s="179">
        <f t="shared" si="58"/>
        <v>-2.7238739540680124E-2</v>
      </c>
      <c r="J155" s="163">
        <f t="shared" si="57"/>
        <v>-153</v>
      </c>
      <c r="K155" s="165">
        <f t="shared" si="56"/>
        <v>2.2403689556370864E-3</v>
      </c>
    </row>
    <row r="156" spans="2:11" x14ac:dyDescent="0.25">
      <c r="B156" s="163" t="s">
        <v>121</v>
      </c>
      <c r="C156" s="164">
        <v>2712</v>
      </c>
      <c r="D156" s="164">
        <v>3249</v>
      </c>
      <c r="E156" s="164">
        <v>4719</v>
      </c>
      <c r="F156" s="164">
        <v>5924</v>
      </c>
      <c r="G156" s="164">
        <v>8755</v>
      </c>
      <c r="H156" s="164">
        <v>7128</v>
      </c>
      <c r="I156" s="179">
        <f t="shared" si="58"/>
        <v>-0.18583666476299254</v>
      </c>
      <c r="J156" s="163">
        <f t="shared" si="57"/>
        <v>-1627</v>
      </c>
      <c r="K156" s="165">
        <f t="shared" si="56"/>
        <v>2.9226482276319826E-3</v>
      </c>
    </row>
    <row r="157" spans="2:11" x14ac:dyDescent="0.25">
      <c r="B157" s="163" t="s">
        <v>128</v>
      </c>
      <c r="C157" s="164">
        <v>310</v>
      </c>
      <c r="D157" s="164">
        <v>880</v>
      </c>
      <c r="E157" s="164">
        <v>819</v>
      </c>
      <c r="F157" s="164">
        <v>1133</v>
      </c>
      <c r="G157" s="164">
        <v>1155</v>
      </c>
      <c r="H157" s="164">
        <v>1041</v>
      </c>
      <c r="I157" s="179">
        <f t="shared" si="58"/>
        <v>-9.8701298701298734E-2</v>
      </c>
      <c r="J157" s="163">
        <f t="shared" si="57"/>
        <v>-114</v>
      </c>
      <c r="K157" s="165">
        <f t="shared" si="56"/>
        <v>4.2683456859776849E-4</v>
      </c>
    </row>
    <row r="158" spans="2:11" x14ac:dyDescent="0.25">
      <c r="B158" s="163" t="s">
        <v>124</v>
      </c>
      <c r="C158" s="164">
        <v>513</v>
      </c>
      <c r="D158" s="164">
        <v>1575</v>
      </c>
      <c r="E158" s="164">
        <v>1488</v>
      </c>
      <c r="F158" s="164">
        <v>1744</v>
      </c>
      <c r="G158" s="164">
        <v>1425</v>
      </c>
      <c r="H158" s="164">
        <v>1282</v>
      </c>
      <c r="I158" s="179">
        <f t="shared" si="58"/>
        <v>-0.10035087719298241</v>
      </c>
      <c r="J158" s="163">
        <f t="shared" si="57"/>
        <v>-143</v>
      </c>
      <c r="K158" s="165">
        <f t="shared" si="56"/>
        <v>5.2565025642876007E-4</v>
      </c>
    </row>
    <row r="159" spans="2:11" x14ac:dyDescent="0.25">
      <c r="B159" s="163" t="s">
        <v>133</v>
      </c>
      <c r="C159" s="164">
        <v>28</v>
      </c>
      <c r="D159" s="164">
        <v>256</v>
      </c>
      <c r="E159" s="164">
        <v>248</v>
      </c>
      <c r="F159" s="164">
        <v>263</v>
      </c>
      <c r="G159" s="164">
        <v>200</v>
      </c>
      <c r="H159" s="164">
        <v>274</v>
      </c>
      <c r="I159" s="179">
        <f t="shared" si="58"/>
        <v>0.37000000000000011</v>
      </c>
      <c r="J159" s="163">
        <f t="shared" si="57"/>
        <v>74</v>
      </c>
      <c r="K159" s="165">
        <f t="shared" si="56"/>
        <v>1.123464666626211E-4</v>
      </c>
    </row>
    <row r="160" spans="2:11" x14ac:dyDescent="0.25">
      <c r="B160" s="163" t="s">
        <v>136</v>
      </c>
      <c r="C160" s="164">
        <v>68</v>
      </c>
      <c r="D160" s="164">
        <v>394</v>
      </c>
      <c r="E160" s="164">
        <v>511</v>
      </c>
      <c r="F160" s="164">
        <v>373</v>
      </c>
      <c r="G160" s="164">
        <v>276</v>
      </c>
      <c r="H160" s="164">
        <v>158</v>
      </c>
      <c r="I160" s="179">
        <f t="shared" si="58"/>
        <v>-0.42753623188405798</v>
      </c>
      <c r="J160" s="163">
        <f t="shared" si="57"/>
        <v>-118</v>
      </c>
      <c r="K160" s="165">
        <f t="shared" si="56"/>
        <v>6.4783728951438443E-5</v>
      </c>
    </row>
    <row r="161" spans="2:11" x14ac:dyDescent="0.25">
      <c r="B161" s="168" t="s">
        <v>150</v>
      </c>
      <c r="C161" s="169">
        <f t="shared" ref="C161:H161" si="59">C153-SUM(C154:C160)</f>
        <v>3707</v>
      </c>
      <c r="D161" s="169">
        <f t="shared" si="59"/>
        <v>5378</v>
      </c>
      <c r="E161" s="169">
        <f t="shared" si="59"/>
        <v>6304</v>
      </c>
      <c r="F161" s="169">
        <f t="shared" si="59"/>
        <v>8867</v>
      </c>
      <c r="G161" s="169">
        <f t="shared" si="59"/>
        <v>8454</v>
      </c>
      <c r="H161" s="169">
        <f t="shared" si="59"/>
        <v>8279</v>
      </c>
      <c r="I161" s="180">
        <f t="shared" si="58"/>
        <v>-2.0700260231842904E-2</v>
      </c>
      <c r="J161" s="168">
        <f>H161-G161</f>
        <v>-175</v>
      </c>
      <c r="K161" s="170">
        <f t="shared" si="56"/>
        <v>3.3945853923351829E-3</v>
      </c>
    </row>
    <row r="162" spans="2:11" x14ac:dyDescent="0.25">
      <c r="C162" s="81"/>
      <c r="D162" s="81"/>
      <c r="E162" s="81"/>
      <c r="F162" s="81"/>
      <c r="G162" s="81"/>
      <c r="H162" s="81"/>
      <c r="I162" s="81"/>
    </row>
    <row r="163" spans="2:11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FD265-40E7-431C-BA97-A18D1FF35B7C}">
  <sheetPr>
    <tabColor theme="7" tint="0.79998168889431442"/>
    <pageSetUpPr fitToPage="1"/>
  </sheetPr>
  <dimension ref="A1:W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3" max="13" width="11.42578125" customWidth="1"/>
    <col min="14" max="23" width="11.42578125" hidden="1" customWidth="1"/>
  </cols>
  <sheetData>
    <row r="1" spans="1:23" ht="42.75" customHeight="1" x14ac:dyDescent="0.25"/>
    <row r="4" spans="1:23" ht="42" customHeight="1" thickBot="1" x14ac:dyDescent="0.3">
      <c r="B4" s="273" t="str">
        <f>CONCATENATE("Viajeros entrados en los apartamentos de Tenerife según lugar de residencia y municipio de alojamiento")</f>
        <v>Viajeros entrados en los apartamentos de Tenerife según lugar de residencia y municipio de alojamiento</v>
      </c>
      <c r="C4" s="273"/>
      <c r="D4" s="273"/>
      <c r="E4" s="273"/>
      <c r="F4" s="273"/>
      <c r="G4" s="273"/>
      <c r="H4" s="273"/>
      <c r="I4" s="273"/>
      <c r="J4" s="144"/>
      <c r="K4" s="144"/>
      <c r="N4" s="143" t="s">
        <v>277</v>
      </c>
      <c r="O4" s="144"/>
      <c r="P4" s="144"/>
      <c r="Q4" s="144"/>
      <c r="R4" s="144"/>
      <c r="S4" s="144"/>
      <c r="T4" s="144"/>
      <c r="U4" s="144"/>
      <c r="V4" s="144"/>
      <c r="W4" s="144"/>
    </row>
    <row r="5" spans="1:23" ht="6" customHeight="1" x14ac:dyDescent="0.25"/>
    <row r="6" spans="1:23" ht="15.75" x14ac:dyDescent="0.25">
      <c r="B6" s="145"/>
      <c r="C6" s="307" t="s">
        <v>45</v>
      </c>
      <c r="D6" s="308"/>
      <c r="E6" s="308"/>
      <c r="F6" s="308"/>
      <c r="G6" s="308"/>
      <c r="H6" s="308"/>
      <c r="I6" s="308"/>
      <c r="J6" s="308"/>
      <c r="K6" s="308"/>
      <c r="N6" s="145"/>
      <c r="O6" s="307" t="s">
        <v>45</v>
      </c>
      <c r="P6" s="308"/>
      <c r="Q6" s="308"/>
      <c r="R6" s="308"/>
      <c r="S6" s="308"/>
      <c r="T6" s="308"/>
      <c r="U6" s="308"/>
      <c r="V6" s="308"/>
      <c r="W6" s="308"/>
    </row>
    <row r="7" spans="1:23" s="146" customFormat="1" ht="72" customHeight="1" x14ac:dyDescent="0.25">
      <c r="B7" s="147"/>
      <c r="C7" s="172" t="s">
        <v>270</v>
      </c>
      <c r="D7" s="172" t="s">
        <v>271</v>
      </c>
      <c r="E7" s="172" t="s">
        <v>272</v>
      </c>
      <c r="F7" s="172" t="s">
        <v>273</v>
      </c>
      <c r="G7" s="172" t="s">
        <v>274</v>
      </c>
      <c r="H7" s="172" t="s">
        <v>275</v>
      </c>
      <c r="I7" s="173" t="str">
        <f>CONCATENATE("var. ",RIGHT(H7,2),"/",RIGHT(G7,2))</f>
        <v>var. 26/25</v>
      </c>
      <c r="J7" s="172" t="str">
        <f>CONCATENATE("dif. ",RIGHT(H7,2),"/",RIGHT(G7,2))</f>
        <v>dif. 26/25</v>
      </c>
      <c r="K7" s="173" t="str">
        <f>CONCATENATE("Cuota s/ total lugares de residencia ",RIGHT(H7,4))</f>
        <v>Cuota s/ total lugares de residencia 2026</v>
      </c>
      <c r="N7" s="147"/>
      <c r="O7" s="172" t="s">
        <v>270</v>
      </c>
      <c r="P7" s="172" t="s">
        <v>271</v>
      </c>
      <c r="Q7" s="172" t="s">
        <v>272</v>
      </c>
      <c r="R7" s="172" t="s">
        <v>273</v>
      </c>
      <c r="S7" s="172" t="s">
        <v>274</v>
      </c>
      <c r="T7" s="172" t="s">
        <v>275</v>
      </c>
      <c r="U7" s="173" t="str">
        <f>CONCATENATE("var. ",RIGHT(T7,2),"/",RIGHT(S7,2))</f>
        <v>var. 26/25</v>
      </c>
      <c r="V7" s="172" t="str">
        <f>CONCATENATE("dif. ",RIGHT(T7,2),"/",RIGHT(S7,2))</f>
        <v>dif. 26/25</v>
      </c>
      <c r="W7" s="173" t="str">
        <f>CONCATENATE("Cuota s/ total lugares de residencia ",RIGHT(T7,4))</f>
        <v>Cuota s/ total lugares de residencia 2026</v>
      </c>
    </row>
    <row r="8" spans="1:23" x14ac:dyDescent="0.25">
      <c r="A8" s="1"/>
      <c r="B8" s="152" t="s">
        <v>45</v>
      </c>
      <c r="C8" s="153"/>
      <c r="D8" s="153"/>
      <c r="E8" s="153"/>
      <c r="F8" s="153"/>
      <c r="G8" s="153"/>
      <c r="H8" s="154"/>
      <c r="I8" s="154"/>
      <c r="J8" s="154"/>
      <c r="K8" s="153"/>
      <c r="N8" s="155" t="s">
        <v>53</v>
      </c>
      <c r="O8" s="153"/>
      <c r="P8" s="153"/>
      <c r="Q8" s="153"/>
      <c r="R8" s="153"/>
      <c r="S8" s="153"/>
      <c r="T8" s="154"/>
      <c r="U8" s="154"/>
      <c r="V8" s="154"/>
      <c r="W8" s="153"/>
    </row>
    <row r="9" spans="1:23" x14ac:dyDescent="0.25">
      <c r="A9" s="1" t="s">
        <v>101</v>
      </c>
      <c r="B9" s="156" t="s">
        <v>73</v>
      </c>
      <c r="C9" s="176">
        <f t="shared" ref="C9:H9" si="0">C10+C13</f>
        <v>167334</v>
      </c>
      <c r="D9" s="176">
        <f t="shared" si="0"/>
        <v>547719</v>
      </c>
      <c r="E9" s="176">
        <f t="shared" si="0"/>
        <v>626079</v>
      </c>
      <c r="F9" s="176">
        <f t="shared" si="0"/>
        <v>693448</v>
      </c>
      <c r="G9" s="176">
        <f t="shared" si="0"/>
        <v>721476</v>
      </c>
      <c r="H9" s="176">
        <f t="shared" si="0"/>
        <v>704904</v>
      </c>
      <c r="I9" s="177">
        <f>IFERROR(H9/G9-1,"-")</f>
        <v>-2.2969579029655907E-2</v>
      </c>
      <c r="J9" s="176">
        <f t="shared" ref="J9:J21" si="1">H9-G9</f>
        <v>-16572</v>
      </c>
      <c r="K9" s="177">
        <f t="shared" ref="K9:K21" si="2">H9/H$9</f>
        <v>1</v>
      </c>
      <c r="N9" s="156" t="s">
        <v>73</v>
      </c>
      <c r="O9" s="176" t="e">
        <f t="shared" ref="O9:T9" si="3">O10+O13</f>
        <v>#REF!</v>
      </c>
      <c r="P9" s="176" t="e">
        <f t="shared" si="3"/>
        <v>#REF!</v>
      </c>
      <c r="Q9" s="176" t="e">
        <f t="shared" si="3"/>
        <v>#REF!</v>
      </c>
      <c r="R9" s="176" t="e">
        <f t="shared" si="3"/>
        <v>#REF!</v>
      </c>
      <c r="S9" s="176" t="e">
        <f t="shared" si="3"/>
        <v>#REF!</v>
      </c>
      <c r="T9" s="176" t="e">
        <f t="shared" si="3"/>
        <v>#REF!</v>
      </c>
      <c r="U9" s="177" t="str">
        <f>IFERROR(T9/S9-1,"-")</f>
        <v>-</v>
      </c>
      <c r="V9" s="176" t="e">
        <f>T9-S9</f>
        <v>#REF!</v>
      </c>
      <c r="W9" s="177" t="e">
        <f t="shared" ref="W9:W21" si="4">T9/T$9</f>
        <v>#REF!</v>
      </c>
    </row>
    <row r="10" spans="1:23" x14ac:dyDescent="0.25">
      <c r="A10" s="162" t="s">
        <v>108</v>
      </c>
      <c r="B10" s="159" t="s">
        <v>102</v>
      </c>
      <c r="C10" s="160">
        <v>74494</v>
      </c>
      <c r="D10" s="160">
        <v>89179</v>
      </c>
      <c r="E10" s="160">
        <v>91893</v>
      </c>
      <c r="F10" s="160">
        <v>97215</v>
      </c>
      <c r="G10" s="160">
        <v>103752</v>
      </c>
      <c r="H10" s="160">
        <v>115571</v>
      </c>
      <c r="I10" s="178">
        <f>IFERROR(H10/G10-1,"-")</f>
        <v>0.11391587632045641</v>
      </c>
      <c r="J10" s="159">
        <f t="shared" si="1"/>
        <v>11819</v>
      </c>
      <c r="K10" s="161">
        <f t="shared" si="2"/>
        <v>0.16395282194454847</v>
      </c>
      <c r="N10" s="159" t="s">
        <v>102</v>
      </c>
      <c r="O10" s="160" t="e">
        <v>#REF!</v>
      </c>
      <c r="P10" s="160" t="e">
        <v>#REF!</v>
      </c>
      <c r="Q10" s="160" t="e">
        <v>#REF!</v>
      </c>
      <c r="R10" s="160" t="e">
        <v>#REF!</v>
      </c>
      <c r="S10" s="160" t="e">
        <v>#REF!</v>
      </c>
      <c r="T10" s="160" t="e">
        <v>#REF!</v>
      </c>
      <c r="U10" s="178" t="str">
        <f>IFERROR(T10/S10-1,"-")</f>
        <v>-</v>
      </c>
      <c r="V10" s="159" t="e">
        <f t="shared" ref="V10:V20" si="5">T10-S10</f>
        <v>#REF!</v>
      </c>
      <c r="W10" s="161" t="e">
        <f t="shared" si="4"/>
        <v>#REF!</v>
      </c>
    </row>
    <row r="11" spans="1:23" x14ac:dyDescent="0.25">
      <c r="A11" s="162" t="s">
        <v>105</v>
      </c>
      <c r="B11" s="163" t="s">
        <v>108</v>
      </c>
      <c r="C11" s="164">
        <v>56135</v>
      </c>
      <c r="D11" s="164">
        <v>53235</v>
      </c>
      <c r="E11" s="164">
        <v>51624</v>
      </c>
      <c r="F11" s="164">
        <v>47719</v>
      </c>
      <c r="G11" s="164">
        <v>41913</v>
      </c>
      <c r="H11" s="164">
        <v>56720</v>
      </c>
      <c r="I11" s="179">
        <f>IFERROR(H11/G11-1,"-")</f>
        <v>0.35327941211557268</v>
      </c>
      <c r="J11" s="163">
        <f t="shared" si="1"/>
        <v>14807</v>
      </c>
      <c r="K11" s="165">
        <f t="shared" si="2"/>
        <v>8.0464857626002972E-2</v>
      </c>
      <c r="N11" s="163" t="s">
        <v>108</v>
      </c>
      <c r="O11" s="164" t="e">
        <v>#REF!</v>
      </c>
      <c r="P11" s="164" t="e">
        <v>#REF!</v>
      </c>
      <c r="Q11" s="164" t="e">
        <v>#REF!</v>
      </c>
      <c r="R11" s="164" t="e">
        <v>#REF!</v>
      </c>
      <c r="S11" s="164" t="e">
        <v>#REF!</v>
      </c>
      <c r="T11" s="164" t="e">
        <v>#REF!</v>
      </c>
      <c r="U11" s="179" t="str">
        <f>IFERROR(T11/S11-1,"-")</f>
        <v>-</v>
      </c>
      <c r="V11" s="163" t="e">
        <f t="shared" si="5"/>
        <v>#REF!</v>
      </c>
      <c r="W11" s="165" t="e">
        <f>T11/T$9</f>
        <v>#REF!</v>
      </c>
    </row>
    <row r="12" spans="1:23" x14ac:dyDescent="0.25">
      <c r="A12" s="1"/>
      <c r="B12" s="163" t="s">
        <v>105</v>
      </c>
      <c r="C12" s="164">
        <v>18359</v>
      </c>
      <c r="D12" s="164">
        <v>35944</v>
      </c>
      <c r="E12" s="164">
        <v>40269</v>
      </c>
      <c r="F12" s="164">
        <v>49496</v>
      </c>
      <c r="G12" s="164">
        <v>61839</v>
      </c>
      <c r="H12" s="164">
        <v>58851</v>
      </c>
      <c r="I12" s="179">
        <f>IFERROR(H12/G12-1,"-")</f>
        <v>-4.8319021976422682E-2</v>
      </c>
      <c r="J12" s="163">
        <f t="shared" si="1"/>
        <v>-2988</v>
      </c>
      <c r="K12" s="165">
        <f t="shared" si="2"/>
        <v>8.3487964318545507E-2</v>
      </c>
      <c r="N12" s="163" t="s">
        <v>105</v>
      </c>
      <c r="O12" s="164" t="e">
        <v>#REF!</v>
      </c>
      <c r="P12" s="164" t="e">
        <v>#REF!</v>
      </c>
      <c r="Q12" s="164" t="e">
        <v>#REF!</v>
      </c>
      <c r="R12" s="164" t="e">
        <v>#REF!</v>
      </c>
      <c r="S12" s="164" t="e">
        <v>#REF!</v>
      </c>
      <c r="T12" s="164" t="e">
        <v>#REF!</v>
      </c>
      <c r="U12" s="179" t="str">
        <f>IFERROR(T12/S12-1,"-")</f>
        <v>-</v>
      </c>
      <c r="V12" s="163" t="e">
        <f t="shared" si="5"/>
        <v>#REF!</v>
      </c>
      <c r="W12" s="165" t="e">
        <f t="shared" si="4"/>
        <v>#REF!</v>
      </c>
    </row>
    <row r="13" spans="1:23" s="57" customFormat="1" x14ac:dyDescent="0.25">
      <c r="B13" s="159" t="s">
        <v>112</v>
      </c>
      <c r="C13" s="160">
        <v>92840</v>
      </c>
      <c r="D13" s="160">
        <v>458540</v>
      </c>
      <c r="E13" s="160">
        <v>534186</v>
      </c>
      <c r="F13" s="160">
        <v>596233</v>
      </c>
      <c r="G13" s="160">
        <v>617724</v>
      </c>
      <c r="H13" s="160">
        <v>589333</v>
      </c>
      <c r="I13" s="178">
        <f>IFERROR(H13/G13-1,"-")</f>
        <v>-4.5960655567858777E-2</v>
      </c>
      <c r="J13" s="159">
        <f t="shared" si="1"/>
        <v>-28391</v>
      </c>
      <c r="K13" s="161">
        <f t="shared" si="2"/>
        <v>0.83604717805545148</v>
      </c>
      <c r="N13" s="159" t="s">
        <v>112</v>
      </c>
      <c r="O13" s="160" t="e">
        <v>#REF!</v>
      </c>
      <c r="P13" s="160" t="e">
        <v>#REF!</v>
      </c>
      <c r="Q13" s="160" t="e">
        <v>#REF!</v>
      </c>
      <c r="R13" s="160" t="e">
        <v>#REF!</v>
      </c>
      <c r="S13" s="160" t="e">
        <v>#REF!</v>
      </c>
      <c r="T13" s="160" t="e">
        <v>#REF!</v>
      </c>
      <c r="U13" s="178" t="str">
        <f>IFERROR(T13/S13-1,"-")</f>
        <v>-</v>
      </c>
      <c r="V13" s="159" t="e">
        <f t="shared" si="5"/>
        <v>#REF!</v>
      </c>
      <c r="W13" s="161" t="e">
        <f t="shared" si="4"/>
        <v>#REF!</v>
      </c>
    </row>
    <row r="14" spans="1:23" s="57" customFormat="1" x14ac:dyDescent="0.25">
      <c r="B14" s="163" t="s">
        <v>115</v>
      </c>
      <c r="C14" s="164">
        <v>9673</v>
      </c>
      <c r="D14" s="164">
        <v>214283</v>
      </c>
      <c r="E14" s="164">
        <v>267481</v>
      </c>
      <c r="F14" s="164">
        <v>314183</v>
      </c>
      <c r="G14" s="164">
        <v>325418</v>
      </c>
      <c r="H14" s="164">
        <v>306525</v>
      </c>
      <c r="I14" s="179">
        <f t="shared" ref="I14:I21" si="6">IFERROR(H14/G14-1,"-")</f>
        <v>-5.8057636639645027E-2</v>
      </c>
      <c r="J14" s="163">
        <f t="shared" si="1"/>
        <v>-18893</v>
      </c>
      <c r="K14" s="165">
        <f t="shared" si="2"/>
        <v>0.43484644717578563</v>
      </c>
      <c r="N14" s="163" t="s">
        <v>115</v>
      </c>
      <c r="O14" s="164" t="e">
        <v>#REF!</v>
      </c>
      <c r="P14" s="164" t="e">
        <v>#REF!</v>
      </c>
      <c r="Q14" s="164" t="e">
        <v>#REF!</v>
      </c>
      <c r="R14" s="164" t="e">
        <v>#REF!</v>
      </c>
      <c r="S14" s="164" t="e">
        <v>#REF!</v>
      </c>
      <c r="T14" s="164" t="e">
        <v>#REF!</v>
      </c>
      <c r="U14" s="179" t="str">
        <f t="shared" ref="U14:U21" si="7">IFERROR(T14/S14-1,"-")</f>
        <v>-</v>
      </c>
      <c r="V14" s="163" t="e">
        <f t="shared" si="5"/>
        <v>#REF!</v>
      </c>
      <c r="W14" s="165" t="e">
        <f t="shared" si="4"/>
        <v>#REF!</v>
      </c>
    </row>
    <row r="15" spans="1:23" x14ac:dyDescent="0.25">
      <c r="A15" s="1"/>
      <c r="B15" s="163" t="s">
        <v>118</v>
      </c>
      <c r="C15" s="164">
        <v>8763</v>
      </c>
      <c r="D15" s="164">
        <v>26316</v>
      </c>
      <c r="E15" s="164">
        <v>28035</v>
      </c>
      <c r="F15" s="164">
        <v>31676</v>
      </c>
      <c r="G15" s="164">
        <v>33381</v>
      </c>
      <c r="H15" s="164">
        <v>30481</v>
      </c>
      <c r="I15" s="179">
        <f t="shared" si="6"/>
        <v>-8.6875767652257241E-2</v>
      </c>
      <c r="J15" s="163">
        <f t="shared" si="1"/>
        <v>-2900</v>
      </c>
      <c r="K15" s="165">
        <f t="shared" si="2"/>
        <v>4.324134917662547E-2</v>
      </c>
      <c r="N15" s="163" t="s">
        <v>118</v>
      </c>
      <c r="O15" s="164" t="e">
        <v>#REF!</v>
      </c>
      <c r="P15" s="164" t="e">
        <v>#REF!</v>
      </c>
      <c r="Q15" s="164" t="e">
        <v>#REF!</v>
      </c>
      <c r="R15" s="164" t="e">
        <v>#REF!</v>
      </c>
      <c r="S15" s="164" t="e">
        <v>#REF!</v>
      </c>
      <c r="T15" s="164" t="e">
        <v>#REF!</v>
      </c>
      <c r="U15" s="179" t="str">
        <f t="shared" si="7"/>
        <v>-</v>
      </c>
      <c r="V15" s="163" t="e">
        <f t="shared" si="5"/>
        <v>#REF!</v>
      </c>
      <c r="W15" s="165" t="e">
        <f t="shared" si="4"/>
        <v>#REF!</v>
      </c>
    </row>
    <row r="16" spans="1:23" x14ac:dyDescent="0.25">
      <c r="A16" s="1"/>
      <c r="B16" s="163" t="s">
        <v>121</v>
      </c>
      <c r="C16" s="164">
        <v>11730</v>
      </c>
      <c r="D16" s="164">
        <v>17536</v>
      </c>
      <c r="E16" s="164">
        <v>21487</v>
      </c>
      <c r="F16" s="164">
        <v>23058</v>
      </c>
      <c r="G16" s="164">
        <v>23899</v>
      </c>
      <c r="H16" s="164">
        <v>25090</v>
      </c>
      <c r="I16" s="179">
        <f t="shared" si="6"/>
        <v>4.9834721118038328E-2</v>
      </c>
      <c r="J16" s="163">
        <f t="shared" si="1"/>
        <v>1191</v>
      </c>
      <c r="K16" s="165">
        <f t="shared" si="2"/>
        <v>3.5593499256636366E-2</v>
      </c>
      <c r="N16" s="163" t="s">
        <v>121</v>
      </c>
      <c r="O16" s="164" t="e">
        <v>#REF!</v>
      </c>
      <c r="P16" s="164" t="e">
        <v>#REF!</v>
      </c>
      <c r="Q16" s="164" t="e">
        <v>#REF!</v>
      </c>
      <c r="R16" s="164" t="e">
        <v>#REF!</v>
      </c>
      <c r="S16" s="164" t="e">
        <v>#REF!</v>
      </c>
      <c r="T16" s="164" t="e">
        <v>#REF!</v>
      </c>
      <c r="U16" s="179" t="str">
        <f t="shared" si="7"/>
        <v>-</v>
      </c>
      <c r="V16" s="163" t="e">
        <f t="shared" si="5"/>
        <v>#REF!</v>
      </c>
      <c r="W16" s="165" t="e">
        <f t="shared" si="4"/>
        <v>#REF!</v>
      </c>
    </row>
    <row r="17" spans="1:23" x14ac:dyDescent="0.25">
      <c r="A17" s="1"/>
      <c r="B17" s="163" t="s">
        <v>128</v>
      </c>
      <c r="C17" s="164">
        <v>5592</v>
      </c>
      <c r="D17" s="164">
        <v>28778</v>
      </c>
      <c r="E17" s="164">
        <v>25724</v>
      </c>
      <c r="F17" s="164">
        <v>26935</v>
      </c>
      <c r="G17" s="164">
        <v>24719</v>
      </c>
      <c r="H17" s="164">
        <v>25159</v>
      </c>
      <c r="I17" s="179">
        <f t="shared" si="6"/>
        <v>1.7800072818479729E-2</v>
      </c>
      <c r="J17" s="163">
        <f t="shared" si="1"/>
        <v>440</v>
      </c>
      <c r="K17" s="165">
        <f t="shared" si="2"/>
        <v>3.5691384926174345E-2</v>
      </c>
      <c r="N17" s="163" t="s">
        <v>128</v>
      </c>
      <c r="O17" s="164" t="e">
        <v>#REF!</v>
      </c>
      <c r="P17" s="164" t="e">
        <v>#REF!</v>
      </c>
      <c r="Q17" s="164" t="e">
        <v>#REF!</v>
      </c>
      <c r="R17" s="164" t="e">
        <v>#REF!</v>
      </c>
      <c r="S17" s="164" t="e">
        <v>#REF!</v>
      </c>
      <c r="T17" s="164" t="e">
        <v>#REF!</v>
      </c>
      <c r="U17" s="179" t="str">
        <f t="shared" si="7"/>
        <v>-</v>
      </c>
      <c r="V17" s="163" t="e">
        <f t="shared" si="5"/>
        <v>#REF!</v>
      </c>
      <c r="W17" s="165" t="e">
        <f t="shared" si="4"/>
        <v>#REF!</v>
      </c>
    </row>
    <row r="18" spans="1:23" x14ac:dyDescent="0.25">
      <c r="A18" s="1"/>
      <c r="B18" s="163" t="s">
        <v>124</v>
      </c>
      <c r="C18" s="164">
        <v>3332</v>
      </c>
      <c r="D18" s="164">
        <v>8863</v>
      </c>
      <c r="E18" s="164">
        <v>9003</v>
      </c>
      <c r="F18" s="164">
        <v>10113</v>
      </c>
      <c r="G18" s="164">
        <v>9079</v>
      </c>
      <c r="H18" s="164">
        <v>9051</v>
      </c>
      <c r="I18" s="179">
        <f t="shared" si="6"/>
        <v>-3.0840400925211675E-3</v>
      </c>
      <c r="J18" s="163">
        <f t="shared" si="1"/>
        <v>-28</v>
      </c>
      <c r="K18" s="165">
        <f t="shared" si="2"/>
        <v>1.284004630417759E-2</v>
      </c>
      <c r="N18" s="163" t="s">
        <v>124</v>
      </c>
      <c r="O18" s="164" t="e">
        <v>#REF!</v>
      </c>
      <c r="P18" s="164" t="e">
        <v>#REF!</v>
      </c>
      <c r="Q18" s="164" t="e">
        <v>#REF!</v>
      </c>
      <c r="R18" s="164" t="e">
        <v>#REF!</v>
      </c>
      <c r="S18" s="164" t="e">
        <v>#REF!</v>
      </c>
      <c r="T18" s="164" t="e">
        <v>#REF!</v>
      </c>
      <c r="U18" s="179" t="str">
        <f t="shared" si="7"/>
        <v>-</v>
      </c>
      <c r="V18" s="163" t="e">
        <f t="shared" si="5"/>
        <v>#REF!</v>
      </c>
      <c r="W18" s="165" t="e">
        <f t="shared" si="4"/>
        <v>#REF!</v>
      </c>
    </row>
    <row r="19" spans="1:23" x14ac:dyDescent="0.25">
      <c r="A19" s="162" t="s">
        <v>149</v>
      </c>
      <c r="B19" s="163" t="s">
        <v>133</v>
      </c>
      <c r="C19" s="164">
        <v>1010</v>
      </c>
      <c r="D19" s="164">
        <v>12195</v>
      </c>
      <c r="E19" s="164">
        <v>14737</v>
      </c>
      <c r="F19" s="164">
        <v>13305</v>
      </c>
      <c r="G19" s="164">
        <v>13477</v>
      </c>
      <c r="H19" s="164">
        <v>12430</v>
      </c>
      <c r="I19" s="179">
        <f t="shared" si="6"/>
        <v>-7.768791274022413E-2</v>
      </c>
      <c r="J19" s="163">
        <f t="shared" si="1"/>
        <v>-1047</v>
      </c>
      <c r="K19" s="165">
        <f t="shared" si="2"/>
        <v>1.7633606845754882E-2</v>
      </c>
      <c r="N19" s="163" t="s">
        <v>133</v>
      </c>
      <c r="O19" s="164" t="e">
        <v>#REF!</v>
      </c>
      <c r="P19" s="164" t="e">
        <v>#REF!</v>
      </c>
      <c r="Q19" s="164" t="e">
        <v>#REF!</v>
      </c>
      <c r="R19" s="164" t="e">
        <v>#REF!</v>
      </c>
      <c r="S19" s="164" t="e">
        <v>#REF!</v>
      </c>
      <c r="T19" s="164" t="e">
        <v>#REF!</v>
      </c>
      <c r="U19" s="179" t="str">
        <f t="shared" si="7"/>
        <v>-</v>
      </c>
      <c r="V19" s="163" t="e">
        <f t="shared" si="5"/>
        <v>#REF!</v>
      </c>
      <c r="W19" s="165" t="e">
        <f t="shared" si="4"/>
        <v>#REF!</v>
      </c>
    </row>
    <row r="20" spans="1:23" x14ac:dyDescent="0.25">
      <c r="A20" s="167" t="s">
        <v>150</v>
      </c>
      <c r="B20" s="163" t="s">
        <v>136</v>
      </c>
      <c r="C20" s="164">
        <v>1347</v>
      </c>
      <c r="D20" s="164">
        <v>10703</v>
      </c>
      <c r="E20" s="164">
        <v>14289</v>
      </c>
      <c r="F20" s="164">
        <v>16753</v>
      </c>
      <c r="G20" s="164">
        <v>12005</v>
      </c>
      <c r="H20" s="164">
        <v>12982</v>
      </c>
      <c r="I20" s="179">
        <f t="shared" si="6"/>
        <v>8.1382757184506493E-2</v>
      </c>
      <c r="J20" s="163">
        <f t="shared" si="1"/>
        <v>977</v>
      </c>
      <c r="K20" s="165">
        <f t="shared" si="2"/>
        <v>1.8416692202058719E-2</v>
      </c>
      <c r="N20" s="163" t="s">
        <v>136</v>
      </c>
      <c r="O20" s="164" t="e">
        <v>#REF!</v>
      </c>
      <c r="P20" s="164" t="e">
        <v>#REF!</v>
      </c>
      <c r="Q20" s="164" t="e">
        <v>#REF!</v>
      </c>
      <c r="R20" s="164" t="e">
        <v>#REF!</v>
      </c>
      <c r="S20" s="164" t="e">
        <v>#REF!</v>
      </c>
      <c r="T20" s="164" t="e">
        <v>#REF!</v>
      </c>
      <c r="U20" s="179" t="str">
        <f t="shared" si="7"/>
        <v>-</v>
      </c>
      <c r="V20" s="163" t="e">
        <f t="shared" si="5"/>
        <v>#REF!</v>
      </c>
      <c r="W20" s="165" t="e">
        <f t="shared" si="4"/>
        <v>#REF!</v>
      </c>
    </row>
    <row r="21" spans="1:23" x14ac:dyDescent="0.25">
      <c r="B21" s="168" t="s">
        <v>150</v>
      </c>
      <c r="C21" s="169">
        <f t="shared" ref="C21:H21" si="8">C13-SUM(C14:C20)</f>
        <v>51393</v>
      </c>
      <c r="D21" s="169">
        <f t="shared" si="8"/>
        <v>139866</v>
      </c>
      <c r="E21" s="169">
        <f t="shared" si="8"/>
        <v>153430</v>
      </c>
      <c r="F21" s="169">
        <f t="shared" si="8"/>
        <v>160210</v>
      </c>
      <c r="G21" s="169">
        <f t="shared" si="8"/>
        <v>175746</v>
      </c>
      <c r="H21" s="169">
        <f t="shared" si="8"/>
        <v>167615</v>
      </c>
      <c r="I21" s="180">
        <f t="shared" si="6"/>
        <v>-4.6265633357231439E-2</v>
      </c>
      <c r="J21" s="168">
        <f t="shared" si="1"/>
        <v>-8131</v>
      </c>
      <c r="K21" s="170">
        <f t="shared" si="2"/>
        <v>0.23778415216823851</v>
      </c>
      <c r="N21" s="168" t="s">
        <v>150</v>
      </c>
      <c r="O21" s="169" t="e">
        <f t="shared" ref="O21:T21" si="9">O13-SUM(O14:O20)</f>
        <v>#REF!</v>
      </c>
      <c r="P21" s="169" t="e">
        <f t="shared" si="9"/>
        <v>#REF!</v>
      </c>
      <c r="Q21" s="169" t="e">
        <f t="shared" si="9"/>
        <v>#REF!</v>
      </c>
      <c r="R21" s="169" t="e">
        <f t="shared" si="9"/>
        <v>#REF!</v>
      </c>
      <c r="S21" s="169" t="e">
        <f t="shared" si="9"/>
        <v>#REF!</v>
      </c>
      <c r="T21" s="169" t="e">
        <f t="shared" si="9"/>
        <v>#REF!</v>
      </c>
      <c r="U21" s="180" t="str">
        <f t="shared" si="7"/>
        <v>-</v>
      </c>
      <c r="V21" s="168" t="e">
        <f>T21-S21</f>
        <v>#REF!</v>
      </c>
      <c r="W21" s="170" t="e">
        <f t="shared" si="4"/>
        <v>#REF!</v>
      </c>
    </row>
    <row r="22" spans="1:23" x14ac:dyDescent="0.25">
      <c r="B22" s="155" t="s">
        <v>46</v>
      </c>
      <c r="C22" s="153"/>
      <c r="D22" s="153"/>
      <c r="E22" s="153"/>
      <c r="F22" s="153"/>
      <c r="G22" s="153"/>
      <c r="H22" s="153"/>
      <c r="I22" s="154"/>
      <c r="J22" s="154"/>
      <c r="K22" s="153"/>
    </row>
    <row r="23" spans="1:23" x14ac:dyDescent="0.25">
      <c r="B23" s="156" t="s">
        <v>73</v>
      </c>
      <c r="C23" s="176">
        <f t="shared" ref="C23:H23" si="10">C24+C27</f>
        <v>49886</v>
      </c>
      <c r="D23" s="176">
        <f t="shared" si="10"/>
        <v>140724</v>
      </c>
      <c r="E23" s="176">
        <f t="shared" si="10"/>
        <v>195215</v>
      </c>
      <c r="F23" s="176">
        <f t="shared" si="10"/>
        <v>210028</v>
      </c>
      <c r="G23" s="176">
        <f t="shared" si="10"/>
        <v>213012</v>
      </c>
      <c r="H23" s="176">
        <f t="shared" si="10"/>
        <v>203090</v>
      </c>
      <c r="I23" s="177">
        <f>IFERROR(H23/G23-1,"-")</f>
        <v>-4.6579535425234297E-2</v>
      </c>
      <c r="J23" s="176">
        <f>H23-G23</f>
        <v>-9922</v>
      </c>
      <c r="K23" s="177">
        <f t="shared" ref="K23:K35" si="11">H23/H$9</f>
        <v>0.28811015400678675</v>
      </c>
    </row>
    <row r="24" spans="1:23" x14ac:dyDescent="0.25">
      <c r="B24" s="159" t="s">
        <v>102</v>
      </c>
      <c r="C24" s="160">
        <v>25712</v>
      </c>
      <c r="D24" s="160">
        <v>17849</v>
      </c>
      <c r="E24" s="160">
        <v>22297</v>
      </c>
      <c r="F24" s="160">
        <v>19552</v>
      </c>
      <c r="G24" s="160">
        <v>18619</v>
      </c>
      <c r="H24" s="160">
        <v>21221</v>
      </c>
      <c r="I24" s="178">
        <f>IFERROR(H24/G24-1,"-")</f>
        <v>0.13974971802996938</v>
      </c>
      <c r="J24" s="159">
        <f t="shared" ref="J24:J34" si="12">H24-G24</f>
        <v>2602</v>
      </c>
      <c r="K24" s="161">
        <f t="shared" si="11"/>
        <v>3.0104808598050231E-2</v>
      </c>
    </row>
    <row r="25" spans="1:23" x14ac:dyDescent="0.25">
      <c r="B25" s="163" t="s">
        <v>108</v>
      </c>
      <c r="C25" s="164">
        <v>19878</v>
      </c>
      <c r="D25" s="164">
        <v>10152</v>
      </c>
      <c r="E25" s="164">
        <v>11519</v>
      </c>
      <c r="F25" s="164">
        <v>9751</v>
      </c>
      <c r="G25" s="164">
        <v>7987</v>
      </c>
      <c r="H25" s="164">
        <v>8764</v>
      </c>
      <c r="I25" s="179">
        <f>IFERROR(H25/G25-1,"-")</f>
        <v>9.7283085013146309E-2</v>
      </c>
      <c r="J25" s="163">
        <f t="shared" si="12"/>
        <v>777</v>
      </c>
      <c r="K25" s="165">
        <f t="shared" si="11"/>
        <v>1.2432898664215269E-2</v>
      </c>
    </row>
    <row r="26" spans="1:23" x14ac:dyDescent="0.25">
      <c r="B26" s="163" t="s">
        <v>105</v>
      </c>
      <c r="C26" s="164">
        <v>5834</v>
      </c>
      <c r="D26" s="164">
        <v>7697</v>
      </c>
      <c r="E26" s="164">
        <v>10778</v>
      </c>
      <c r="F26" s="164">
        <v>9801</v>
      </c>
      <c r="G26" s="164">
        <v>10632</v>
      </c>
      <c r="H26" s="164">
        <v>12457</v>
      </c>
      <c r="I26" s="179">
        <f>IFERROR(H26/G26-1,"-")</f>
        <v>0.17165161775771254</v>
      </c>
      <c r="J26" s="163">
        <f t="shared" si="12"/>
        <v>1825</v>
      </c>
      <c r="K26" s="165">
        <f t="shared" si="11"/>
        <v>1.767190993383496E-2</v>
      </c>
    </row>
    <row r="27" spans="1:23" x14ac:dyDescent="0.25">
      <c r="B27" s="159" t="s">
        <v>112</v>
      </c>
      <c r="C27" s="160">
        <v>24174</v>
      </c>
      <c r="D27" s="160">
        <v>122875</v>
      </c>
      <c r="E27" s="160">
        <v>172918</v>
      </c>
      <c r="F27" s="160">
        <v>190476</v>
      </c>
      <c r="G27" s="160">
        <v>194393</v>
      </c>
      <c r="H27" s="160">
        <v>181869</v>
      </c>
      <c r="I27" s="178">
        <f>IFERROR(H27/G27-1,"-")</f>
        <v>-6.4426188185788602E-2</v>
      </c>
      <c r="J27" s="159">
        <f t="shared" si="12"/>
        <v>-12524</v>
      </c>
      <c r="K27" s="161">
        <f t="shared" si="11"/>
        <v>0.25800534540873649</v>
      </c>
    </row>
    <row r="28" spans="1:23" x14ac:dyDescent="0.25">
      <c r="B28" s="163" t="s">
        <v>115</v>
      </c>
      <c r="C28" s="164">
        <v>4154</v>
      </c>
      <c r="D28" s="164">
        <v>61983</v>
      </c>
      <c r="E28" s="164">
        <v>95863</v>
      </c>
      <c r="F28" s="164">
        <v>111835</v>
      </c>
      <c r="G28" s="164">
        <v>117241</v>
      </c>
      <c r="H28" s="164">
        <v>102704</v>
      </c>
      <c r="I28" s="179">
        <f t="shared" ref="I28:I35" si="13">IFERROR(H28/G28-1,"-")</f>
        <v>-0.12399245997560582</v>
      </c>
      <c r="J28" s="163">
        <f t="shared" si="12"/>
        <v>-14537</v>
      </c>
      <c r="K28" s="165">
        <f t="shared" si="11"/>
        <v>0.14569927252505305</v>
      </c>
    </row>
    <row r="29" spans="1:23" x14ac:dyDescent="0.25">
      <c r="B29" s="163" t="s">
        <v>118</v>
      </c>
      <c r="C29" s="164">
        <v>2705</v>
      </c>
      <c r="D29" s="164">
        <v>7674</v>
      </c>
      <c r="E29" s="164">
        <v>8713</v>
      </c>
      <c r="F29" s="164">
        <v>9531</v>
      </c>
      <c r="G29" s="164">
        <v>8647</v>
      </c>
      <c r="H29" s="164">
        <v>8215</v>
      </c>
      <c r="I29" s="179">
        <f t="shared" si="13"/>
        <v>-4.9959523534173655E-2</v>
      </c>
      <c r="J29" s="163">
        <f t="shared" si="12"/>
        <v>-432</v>
      </c>
      <c r="K29" s="165">
        <f t="shared" si="11"/>
        <v>1.1654069206586997E-2</v>
      </c>
    </row>
    <row r="30" spans="1:23" x14ac:dyDescent="0.25">
      <c r="B30" s="163" t="s">
        <v>121</v>
      </c>
      <c r="C30" s="164">
        <v>3210</v>
      </c>
      <c r="D30" s="164">
        <v>5912</v>
      </c>
      <c r="E30" s="164">
        <v>9315</v>
      </c>
      <c r="F30" s="164">
        <v>10298</v>
      </c>
      <c r="G30" s="164">
        <v>6727</v>
      </c>
      <c r="H30" s="164">
        <v>7840</v>
      </c>
      <c r="I30" s="179">
        <f t="shared" si="13"/>
        <v>0.16545265348595217</v>
      </c>
      <c r="J30" s="163">
        <f t="shared" si="12"/>
        <v>1113</v>
      </c>
      <c r="K30" s="165">
        <f t="shared" si="11"/>
        <v>1.1122081872141455E-2</v>
      </c>
    </row>
    <row r="31" spans="1:23" x14ac:dyDescent="0.25">
      <c r="B31" s="163" t="s">
        <v>128</v>
      </c>
      <c r="C31" s="164">
        <v>1234</v>
      </c>
      <c r="D31" s="164">
        <v>7086</v>
      </c>
      <c r="E31" s="164">
        <v>7810</v>
      </c>
      <c r="F31" s="164">
        <v>6314</v>
      </c>
      <c r="G31" s="164">
        <v>5795</v>
      </c>
      <c r="H31" s="164">
        <v>5646</v>
      </c>
      <c r="I31" s="179">
        <f t="shared" si="13"/>
        <v>-2.5711820534943919E-2</v>
      </c>
      <c r="J31" s="163">
        <f t="shared" si="12"/>
        <v>-149</v>
      </c>
      <c r="K31" s="165">
        <f t="shared" si="11"/>
        <v>8.0096013074120731E-3</v>
      </c>
    </row>
    <row r="32" spans="1:23" x14ac:dyDescent="0.25">
      <c r="B32" s="163" t="s">
        <v>124</v>
      </c>
      <c r="C32" s="164">
        <v>1310</v>
      </c>
      <c r="D32" s="164">
        <v>3026</v>
      </c>
      <c r="E32" s="164">
        <v>3180</v>
      </c>
      <c r="F32" s="164">
        <v>3167</v>
      </c>
      <c r="G32" s="164">
        <v>2763</v>
      </c>
      <c r="H32" s="164">
        <v>2948</v>
      </c>
      <c r="I32" s="179">
        <f t="shared" si="13"/>
        <v>6.6956207021353631E-2</v>
      </c>
      <c r="J32" s="163">
        <f t="shared" si="12"/>
        <v>185</v>
      </c>
      <c r="K32" s="165">
        <f t="shared" si="11"/>
        <v>4.1821297651878841E-3</v>
      </c>
    </row>
    <row r="33" spans="2:11" x14ac:dyDescent="0.25">
      <c r="B33" s="163" t="s">
        <v>133</v>
      </c>
      <c r="C33" s="164">
        <v>86</v>
      </c>
      <c r="D33" s="164">
        <v>1563</v>
      </c>
      <c r="E33" s="164">
        <v>2431</v>
      </c>
      <c r="F33" s="164">
        <v>1870</v>
      </c>
      <c r="G33" s="164">
        <v>2213</v>
      </c>
      <c r="H33" s="164">
        <v>3071</v>
      </c>
      <c r="I33" s="179">
        <f t="shared" si="13"/>
        <v>0.38770899231812028</v>
      </c>
      <c r="J33" s="163">
        <f t="shared" si="12"/>
        <v>858</v>
      </c>
      <c r="K33" s="165">
        <f t="shared" si="11"/>
        <v>4.3566216108860212E-3</v>
      </c>
    </row>
    <row r="34" spans="2:11" x14ac:dyDescent="0.25">
      <c r="B34" s="163" t="s">
        <v>136</v>
      </c>
      <c r="C34" s="164">
        <v>157</v>
      </c>
      <c r="D34" s="164">
        <v>871</v>
      </c>
      <c r="E34" s="164">
        <v>1965</v>
      </c>
      <c r="F34" s="164">
        <v>2200</v>
      </c>
      <c r="G34" s="164">
        <v>1238</v>
      </c>
      <c r="H34" s="164">
        <v>2169</v>
      </c>
      <c r="I34" s="179">
        <f t="shared" si="13"/>
        <v>0.75201938610662356</v>
      </c>
      <c r="J34" s="163">
        <f t="shared" si="12"/>
        <v>931</v>
      </c>
      <c r="K34" s="165">
        <f t="shared" si="11"/>
        <v>3.0770147424330121E-3</v>
      </c>
    </row>
    <row r="35" spans="2:11" x14ac:dyDescent="0.25">
      <c r="B35" s="168" t="s">
        <v>150</v>
      </c>
      <c r="C35" s="169">
        <f t="shared" ref="C35:H35" si="14">C27-SUM(C28:C34)</f>
        <v>11318</v>
      </c>
      <c r="D35" s="169">
        <f t="shared" si="14"/>
        <v>34760</v>
      </c>
      <c r="E35" s="169">
        <f t="shared" si="14"/>
        <v>43641</v>
      </c>
      <c r="F35" s="169">
        <f t="shared" si="14"/>
        <v>45261</v>
      </c>
      <c r="G35" s="169">
        <f t="shared" si="14"/>
        <v>49769</v>
      </c>
      <c r="H35" s="169">
        <f t="shared" si="14"/>
        <v>49276</v>
      </c>
      <c r="I35" s="180">
        <f t="shared" si="13"/>
        <v>-9.9057646326026205E-3</v>
      </c>
      <c r="J35" s="168">
        <f>H35-G35</f>
        <v>-493</v>
      </c>
      <c r="K35" s="170">
        <f t="shared" si="11"/>
        <v>6.9904554379036005E-2</v>
      </c>
    </row>
    <row r="36" spans="2:11" x14ac:dyDescent="0.25">
      <c r="B36" s="155" t="s">
        <v>47</v>
      </c>
      <c r="C36" s="153"/>
      <c r="D36" s="153"/>
      <c r="E36" s="153"/>
      <c r="F36" s="153"/>
      <c r="G36" s="153"/>
      <c r="H36" s="153"/>
      <c r="I36" s="154"/>
      <c r="J36" s="154"/>
      <c r="K36" s="153"/>
    </row>
    <row r="37" spans="2:11" x14ac:dyDescent="0.25">
      <c r="B37" s="156" t="s">
        <v>73</v>
      </c>
      <c r="C37" s="176">
        <f t="shared" ref="C37:H37" si="15">C38+C41</f>
        <v>80916</v>
      </c>
      <c r="D37" s="176">
        <f t="shared" si="15"/>
        <v>281837</v>
      </c>
      <c r="E37" s="176">
        <f t="shared" si="15"/>
        <v>289323</v>
      </c>
      <c r="F37" s="176">
        <f t="shared" si="15"/>
        <v>306892</v>
      </c>
      <c r="G37" s="176">
        <f t="shared" si="15"/>
        <v>317040</v>
      </c>
      <c r="H37" s="176">
        <f t="shared" si="15"/>
        <v>323793</v>
      </c>
      <c r="I37" s="177">
        <f>IFERROR(H37/G37-1,"-")</f>
        <v>2.130015140045427E-2</v>
      </c>
      <c r="J37" s="176">
        <f>H37-G37</f>
        <v>6753</v>
      </c>
      <c r="K37" s="177">
        <f t="shared" ref="K37:K49" si="16">H37/H$9</f>
        <v>0.45934339995233392</v>
      </c>
    </row>
    <row r="38" spans="2:11" x14ac:dyDescent="0.25">
      <c r="B38" s="159" t="s">
        <v>102</v>
      </c>
      <c r="C38" s="160">
        <v>28063</v>
      </c>
      <c r="D38" s="160">
        <v>24222</v>
      </c>
      <c r="E38" s="160">
        <v>19294</v>
      </c>
      <c r="F38" s="160">
        <v>18141</v>
      </c>
      <c r="G38" s="160">
        <v>20151</v>
      </c>
      <c r="H38" s="160">
        <v>27671</v>
      </c>
      <c r="I38" s="178">
        <f>IFERROR(H38/G38-1,"-")</f>
        <v>0.37318247233387924</v>
      </c>
      <c r="J38" s="159">
        <f t="shared" ref="J38:J48" si="17">H38-G38</f>
        <v>7520</v>
      </c>
      <c r="K38" s="161">
        <f t="shared" si="16"/>
        <v>3.9254990750513544E-2</v>
      </c>
    </row>
    <row r="39" spans="2:11" x14ac:dyDescent="0.25">
      <c r="B39" s="163" t="s">
        <v>108</v>
      </c>
      <c r="C39" s="164">
        <v>24429</v>
      </c>
      <c r="D39" s="164">
        <v>17998</v>
      </c>
      <c r="E39" s="164">
        <v>12087</v>
      </c>
      <c r="F39" s="164">
        <v>9826</v>
      </c>
      <c r="G39" s="164">
        <v>10596</v>
      </c>
      <c r="H39" s="164">
        <v>17610</v>
      </c>
      <c r="I39" s="179">
        <f>IFERROR(H39/G39-1,"-")</f>
        <v>0.66194790486976207</v>
      </c>
      <c r="J39" s="163">
        <f t="shared" si="17"/>
        <v>7014</v>
      </c>
      <c r="K39" s="165">
        <f t="shared" si="16"/>
        <v>2.4982125225562628E-2</v>
      </c>
    </row>
    <row r="40" spans="2:11" x14ac:dyDescent="0.25">
      <c r="B40" s="163" t="s">
        <v>105</v>
      </c>
      <c r="C40" s="164">
        <v>3634</v>
      </c>
      <c r="D40" s="164">
        <v>6224</v>
      </c>
      <c r="E40" s="164">
        <v>7207</v>
      </c>
      <c r="F40" s="164">
        <v>8315</v>
      </c>
      <c r="G40" s="164">
        <v>9555</v>
      </c>
      <c r="H40" s="164">
        <v>10061</v>
      </c>
      <c r="I40" s="179">
        <f>IFERROR(H40/G40-1,"-")</f>
        <v>5.2956567242281594E-2</v>
      </c>
      <c r="J40" s="163">
        <f t="shared" si="17"/>
        <v>506</v>
      </c>
      <c r="K40" s="165">
        <f t="shared" si="16"/>
        <v>1.4272865524950915E-2</v>
      </c>
    </row>
    <row r="41" spans="2:11" x14ac:dyDescent="0.25">
      <c r="B41" s="159" t="s">
        <v>112</v>
      </c>
      <c r="C41" s="160">
        <v>52853</v>
      </c>
      <c r="D41" s="160">
        <v>257615</v>
      </c>
      <c r="E41" s="160">
        <v>270029</v>
      </c>
      <c r="F41" s="160">
        <v>288751</v>
      </c>
      <c r="G41" s="160">
        <v>296889</v>
      </c>
      <c r="H41" s="160">
        <v>296122</v>
      </c>
      <c r="I41" s="178">
        <f>IFERROR(H41/G41-1,"-")</f>
        <v>-2.5834571169696119E-3</v>
      </c>
      <c r="J41" s="159">
        <f t="shared" si="17"/>
        <v>-767</v>
      </c>
      <c r="K41" s="161">
        <f t="shared" si="16"/>
        <v>0.42008840920182039</v>
      </c>
    </row>
    <row r="42" spans="2:11" x14ac:dyDescent="0.25">
      <c r="B42" s="163" t="s">
        <v>115</v>
      </c>
      <c r="C42" s="164">
        <v>4699</v>
      </c>
      <c r="D42" s="164">
        <v>130042</v>
      </c>
      <c r="E42" s="164">
        <v>146540</v>
      </c>
      <c r="F42" s="164">
        <v>159176</v>
      </c>
      <c r="G42" s="164">
        <v>164054</v>
      </c>
      <c r="H42" s="164">
        <v>162830</v>
      </c>
      <c r="I42" s="179">
        <f t="shared" ref="I42:I49" si="18">IFERROR(H42/G42-1,"-")</f>
        <v>-7.4609579772514367E-3</v>
      </c>
      <c r="J42" s="163">
        <f t="shared" si="17"/>
        <v>-1224</v>
      </c>
      <c r="K42" s="165">
        <f t="shared" si="16"/>
        <v>0.23099599378071339</v>
      </c>
    </row>
    <row r="43" spans="2:11" x14ac:dyDescent="0.25">
      <c r="B43" s="163" t="s">
        <v>118</v>
      </c>
      <c r="C43" s="164">
        <v>3112</v>
      </c>
      <c r="D43" s="164">
        <v>6637</v>
      </c>
      <c r="E43" s="164">
        <v>6184</v>
      </c>
      <c r="F43" s="164">
        <v>7088</v>
      </c>
      <c r="G43" s="164">
        <v>8399</v>
      </c>
      <c r="H43" s="164">
        <v>8454</v>
      </c>
      <c r="I43" s="179">
        <f t="shared" si="18"/>
        <v>6.5483986188832333E-3</v>
      </c>
      <c r="J43" s="163">
        <f t="shared" si="17"/>
        <v>55</v>
      </c>
      <c r="K43" s="165">
        <f t="shared" si="16"/>
        <v>1.1993122467740288E-2</v>
      </c>
    </row>
    <row r="44" spans="2:11" x14ac:dyDescent="0.25">
      <c r="B44" s="163" t="s">
        <v>121</v>
      </c>
      <c r="C44" s="164">
        <v>5649</v>
      </c>
      <c r="D44" s="164">
        <v>5542</v>
      </c>
      <c r="E44" s="164">
        <v>5329</v>
      </c>
      <c r="F44" s="164">
        <v>5706</v>
      </c>
      <c r="G44" s="164">
        <v>6041</v>
      </c>
      <c r="H44" s="164">
        <v>7666</v>
      </c>
      <c r="I44" s="179">
        <f t="shared" si="18"/>
        <v>0.26899519947028638</v>
      </c>
      <c r="J44" s="163">
        <f t="shared" si="17"/>
        <v>1625</v>
      </c>
      <c r="K44" s="165">
        <f t="shared" si="16"/>
        <v>1.0875239748958723E-2</v>
      </c>
    </row>
    <row r="45" spans="2:11" x14ac:dyDescent="0.25">
      <c r="B45" s="163" t="s">
        <v>128</v>
      </c>
      <c r="C45" s="164">
        <v>3828</v>
      </c>
      <c r="D45" s="164">
        <v>16942</v>
      </c>
      <c r="E45" s="164">
        <v>13856</v>
      </c>
      <c r="F45" s="164">
        <v>14990</v>
      </c>
      <c r="G45" s="164">
        <v>13952</v>
      </c>
      <c r="H45" s="164">
        <v>15065</v>
      </c>
      <c r="I45" s="179">
        <f t="shared" si="18"/>
        <v>7.9773509174311918E-2</v>
      </c>
      <c r="J45" s="163">
        <f t="shared" si="17"/>
        <v>1113</v>
      </c>
      <c r="K45" s="165">
        <f t="shared" si="16"/>
        <v>2.137170451579222E-2</v>
      </c>
    </row>
    <row r="46" spans="2:11" x14ac:dyDescent="0.25">
      <c r="B46" s="163" t="s">
        <v>124</v>
      </c>
      <c r="C46" s="164">
        <v>1735</v>
      </c>
      <c r="D46" s="164">
        <v>4362</v>
      </c>
      <c r="E46" s="164">
        <v>4336</v>
      </c>
      <c r="F46" s="164">
        <v>5322</v>
      </c>
      <c r="G46" s="164">
        <v>4903</v>
      </c>
      <c r="H46" s="164">
        <v>4639</v>
      </c>
      <c r="I46" s="179">
        <f t="shared" si="18"/>
        <v>-5.3844584947991048E-2</v>
      </c>
      <c r="J46" s="163">
        <f t="shared" si="17"/>
        <v>-264</v>
      </c>
      <c r="K46" s="165">
        <f t="shared" si="16"/>
        <v>6.5810379853143124E-3</v>
      </c>
    </row>
    <row r="47" spans="2:11" x14ac:dyDescent="0.25">
      <c r="B47" s="163" t="s">
        <v>133</v>
      </c>
      <c r="C47" s="164">
        <v>747</v>
      </c>
      <c r="D47" s="164">
        <v>8244</v>
      </c>
      <c r="E47" s="164">
        <v>8819</v>
      </c>
      <c r="F47" s="164">
        <v>8511</v>
      </c>
      <c r="G47" s="164">
        <v>7792</v>
      </c>
      <c r="H47" s="164">
        <v>6533</v>
      </c>
      <c r="I47" s="179">
        <f t="shared" si="18"/>
        <v>-0.16157597535934287</v>
      </c>
      <c r="J47" s="163">
        <f t="shared" si="17"/>
        <v>-1259</v>
      </c>
      <c r="K47" s="165">
        <f t="shared" si="16"/>
        <v>9.2679286824872611E-3</v>
      </c>
    </row>
    <row r="48" spans="2:11" x14ac:dyDescent="0.25">
      <c r="B48" s="163" t="s">
        <v>136</v>
      </c>
      <c r="C48" s="164">
        <v>950</v>
      </c>
      <c r="D48" s="164">
        <v>7661</v>
      </c>
      <c r="E48" s="164">
        <v>8640</v>
      </c>
      <c r="F48" s="164">
        <v>9534</v>
      </c>
      <c r="G48" s="164">
        <v>6987</v>
      </c>
      <c r="H48" s="164">
        <v>6941</v>
      </c>
      <c r="I48" s="179">
        <f t="shared" si="18"/>
        <v>-6.5836553599541991E-3</v>
      </c>
      <c r="J48" s="163">
        <f t="shared" si="17"/>
        <v>-46</v>
      </c>
      <c r="K48" s="165">
        <f t="shared" si="16"/>
        <v>9.8467309023640096E-3</v>
      </c>
    </row>
    <row r="49" spans="2:11" x14ac:dyDescent="0.25">
      <c r="B49" s="168" t="s">
        <v>150</v>
      </c>
      <c r="C49" s="169">
        <f t="shared" ref="C49:H49" si="19">C41-SUM(C42:C48)</f>
        <v>32133</v>
      </c>
      <c r="D49" s="169">
        <f t="shared" si="19"/>
        <v>78185</v>
      </c>
      <c r="E49" s="169">
        <f t="shared" si="19"/>
        <v>76325</v>
      </c>
      <c r="F49" s="169">
        <f t="shared" si="19"/>
        <v>78424</v>
      </c>
      <c r="G49" s="169">
        <f t="shared" si="19"/>
        <v>84761</v>
      </c>
      <c r="H49" s="169">
        <f t="shared" si="19"/>
        <v>83994</v>
      </c>
      <c r="I49" s="180">
        <f t="shared" si="18"/>
        <v>-9.0489729946555686E-3</v>
      </c>
      <c r="J49" s="168">
        <f>H49-G49</f>
        <v>-767</v>
      </c>
      <c r="K49" s="170">
        <f t="shared" si="16"/>
        <v>0.11915665111845017</v>
      </c>
    </row>
    <row r="50" spans="2:11" x14ac:dyDescent="0.25">
      <c r="B50" s="155" t="s">
        <v>48</v>
      </c>
      <c r="C50" s="153"/>
      <c r="D50" s="153"/>
      <c r="E50" s="153"/>
      <c r="F50" s="153"/>
      <c r="G50" s="153"/>
      <c r="H50" s="153"/>
      <c r="I50" s="154"/>
      <c r="J50" s="154"/>
      <c r="K50" s="153"/>
    </row>
    <row r="51" spans="2:11" x14ac:dyDescent="0.25">
      <c r="B51" s="156" t="s">
        <v>73</v>
      </c>
      <c r="C51" s="176">
        <f t="shared" ref="C51:H51" si="20">IFERROR(C52+C55,"nd")</f>
        <v>0</v>
      </c>
      <c r="D51" s="176">
        <f t="shared" si="20"/>
        <v>0</v>
      </c>
      <c r="E51" s="176">
        <f t="shared" si="20"/>
        <v>0</v>
      </c>
      <c r="F51" s="176">
        <f t="shared" si="20"/>
        <v>0</v>
      </c>
      <c r="G51" s="176">
        <f t="shared" si="20"/>
        <v>0</v>
      </c>
      <c r="H51" s="176">
        <f t="shared" si="20"/>
        <v>0</v>
      </c>
      <c r="I51" s="177" t="str">
        <f>IFERROR(H51/G51-1,"-")</f>
        <v>-</v>
      </c>
      <c r="J51" s="176">
        <f>H51-G51</f>
        <v>0</v>
      </c>
      <c r="K51" s="177">
        <f t="shared" ref="K51:K63" si="21">H51/H$9</f>
        <v>0</v>
      </c>
    </row>
    <row r="52" spans="2:11" x14ac:dyDescent="0.25">
      <c r="B52" s="159" t="s">
        <v>102</v>
      </c>
      <c r="C52" s="160">
        <v>0</v>
      </c>
      <c r="D52" s="160">
        <v>0</v>
      </c>
      <c r="E52" s="160">
        <v>0</v>
      </c>
      <c r="F52" s="160">
        <v>0</v>
      </c>
      <c r="G52" s="160">
        <v>0</v>
      </c>
      <c r="H52" s="160">
        <v>0</v>
      </c>
      <c r="I52" s="178" t="str">
        <f>IFERROR(H52/G52-1,"-")</f>
        <v>-</v>
      </c>
      <c r="J52" s="159">
        <f t="shared" ref="J52:J62" si="22">H52-G52</f>
        <v>0</v>
      </c>
      <c r="K52" s="161">
        <f t="shared" si="21"/>
        <v>0</v>
      </c>
    </row>
    <row r="53" spans="2:11" x14ac:dyDescent="0.25">
      <c r="B53" s="163" t="s">
        <v>108</v>
      </c>
      <c r="C53" s="164">
        <v>0</v>
      </c>
      <c r="D53" s="164">
        <v>0</v>
      </c>
      <c r="E53" s="164">
        <v>0</v>
      </c>
      <c r="F53" s="164">
        <v>0</v>
      </c>
      <c r="G53" s="164">
        <v>0</v>
      </c>
      <c r="H53" s="164">
        <v>0</v>
      </c>
      <c r="I53" s="179" t="str">
        <f>IFERROR(H53/G53-1,"-")</f>
        <v>-</v>
      </c>
      <c r="J53" s="163">
        <f t="shared" si="22"/>
        <v>0</v>
      </c>
      <c r="K53" s="165">
        <f t="shared" si="21"/>
        <v>0</v>
      </c>
    </row>
    <row r="54" spans="2:11" x14ac:dyDescent="0.25">
      <c r="B54" s="163" t="s">
        <v>105</v>
      </c>
      <c r="C54" s="164">
        <v>0</v>
      </c>
      <c r="D54" s="164">
        <v>0</v>
      </c>
      <c r="E54" s="164">
        <v>0</v>
      </c>
      <c r="F54" s="164">
        <v>0</v>
      </c>
      <c r="G54" s="164">
        <v>0</v>
      </c>
      <c r="H54" s="164">
        <v>0</v>
      </c>
      <c r="I54" s="179" t="str">
        <f>IFERROR(H54/G54-1,"-")</f>
        <v>-</v>
      </c>
      <c r="J54" s="163">
        <f t="shared" si="22"/>
        <v>0</v>
      </c>
      <c r="K54" s="165">
        <f t="shared" si="21"/>
        <v>0</v>
      </c>
    </row>
    <row r="55" spans="2:11" x14ac:dyDescent="0.25">
      <c r="B55" s="159" t="s">
        <v>112</v>
      </c>
      <c r="C55" s="160">
        <v>0</v>
      </c>
      <c r="D55" s="160">
        <v>0</v>
      </c>
      <c r="E55" s="160">
        <v>0</v>
      </c>
      <c r="F55" s="160">
        <v>0</v>
      </c>
      <c r="G55" s="160">
        <v>0</v>
      </c>
      <c r="H55" s="160">
        <v>0</v>
      </c>
      <c r="I55" s="178" t="str">
        <f>IFERROR(H55/G55-1,"-")</f>
        <v>-</v>
      </c>
      <c r="J55" s="159">
        <f t="shared" si="22"/>
        <v>0</v>
      </c>
      <c r="K55" s="161">
        <f t="shared" si="21"/>
        <v>0</v>
      </c>
    </row>
    <row r="56" spans="2:11" x14ac:dyDescent="0.25">
      <c r="B56" s="163" t="s">
        <v>115</v>
      </c>
      <c r="C56" s="164">
        <v>0</v>
      </c>
      <c r="D56" s="164">
        <v>0</v>
      </c>
      <c r="E56" s="164">
        <v>0</v>
      </c>
      <c r="F56" s="164">
        <v>0</v>
      </c>
      <c r="G56" s="164">
        <v>0</v>
      </c>
      <c r="H56" s="164">
        <v>0</v>
      </c>
      <c r="I56" s="179" t="str">
        <f t="shared" ref="I56:I63" si="23">IFERROR(H56/G56-1,"-")</f>
        <v>-</v>
      </c>
      <c r="J56" s="163">
        <f t="shared" si="22"/>
        <v>0</v>
      </c>
      <c r="K56" s="165">
        <f t="shared" si="21"/>
        <v>0</v>
      </c>
    </row>
    <row r="57" spans="2:11" x14ac:dyDescent="0.25">
      <c r="B57" s="163" t="s">
        <v>118</v>
      </c>
      <c r="C57" s="164">
        <v>0</v>
      </c>
      <c r="D57" s="164">
        <v>0</v>
      </c>
      <c r="E57" s="164">
        <v>0</v>
      </c>
      <c r="F57" s="164">
        <v>0</v>
      </c>
      <c r="G57" s="164">
        <v>0</v>
      </c>
      <c r="H57" s="164">
        <v>0</v>
      </c>
      <c r="I57" s="179" t="str">
        <f t="shared" si="23"/>
        <v>-</v>
      </c>
      <c r="J57" s="163">
        <f t="shared" si="22"/>
        <v>0</v>
      </c>
      <c r="K57" s="165">
        <f t="shared" si="21"/>
        <v>0</v>
      </c>
    </row>
    <row r="58" spans="2:11" x14ac:dyDescent="0.25">
      <c r="B58" s="163" t="s">
        <v>121</v>
      </c>
      <c r="C58" s="164">
        <v>0</v>
      </c>
      <c r="D58" s="164">
        <v>0</v>
      </c>
      <c r="E58" s="164">
        <v>0</v>
      </c>
      <c r="F58" s="164">
        <v>0</v>
      </c>
      <c r="G58" s="164">
        <v>0</v>
      </c>
      <c r="H58" s="164">
        <v>0</v>
      </c>
      <c r="I58" s="179" t="str">
        <f t="shared" si="23"/>
        <v>-</v>
      </c>
      <c r="J58" s="163">
        <f t="shared" si="22"/>
        <v>0</v>
      </c>
      <c r="K58" s="165">
        <f t="shared" si="21"/>
        <v>0</v>
      </c>
    </row>
    <row r="59" spans="2:11" x14ac:dyDescent="0.25">
      <c r="B59" s="163" t="s">
        <v>128</v>
      </c>
      <c r="C59" s="164">
        <v>0</v>
      </c>
      <c r="D59" s="164">
        <v>0</v>
      </c>
      <c r="E59" s="164">
        <v>0</v>
      </c>
      <c r="F59" s="164">
        <v>0</v>
      </c>
      <c r="G59" s="164">
        <v>0</v>
      </c>
      <c r="H59" s="164">
        <v>0</v>
      </c>
      <c r="I59" s="179" t="str">
        <f t="shared" si="23"/>
        <v>-</v>
      </c>
      <c r="J59" s="163">
        <f t="shared" si="22"/>
        <v>0</v>
      </c>
      <c r="K59" s="165">
        <f t="shared" si="21"/>
        <v>0</v>
      </c>
    </row>
    <row r="60" spans="2:11" x14ac:dyDescent="0.25">
      <c r="B60" s="163" t="s">
        <v>124</v>
      </c>
      <c r="C60" s="164">
        <v>0</v>
      </c>
      <c r="D60" s="164">
        <v>0</v>
      </c>
      <c r="E60" s="164">
        <v>0</v>
      </c>
      <c r="F60" s="164">
        <v>0</v>
      </c>
      <c r="G60" s="164">
        <v>0</v>
      </c>
      <c r="H60" s="164">
        <v>0</v>
      </c>
      <c r="I60" s="179" t="str">
        <f t="shared" si="23"/>
        <v>-</v>
      </c>
      <c r="J60" s="163">
        <f t="shared" si="22"/>
        <v>0</v>
      </c>
      <c r="K60" s="165">
        <f t="shared" si="21"/>
        <v>0</v>
      </c>
    </row>
    <row r="61" spans="2:11" x14ac:dyDescent="0.25">
      <c r="B61" s="163" t="s">
        <v>133</v>
      </c>
      <c r="C61" s="164">
        <v>0</v>
      </c>
      <c r="D61" s="164">
        <v>0</v>
      </c>
      <c r="E61" s="164">
        <v>0</v>
      </c>
      <c r="F61" s="164">
        <v>0</v>
      </c>
      <c r="G61" s="164">
        <v>0</v>
      </c>
      <c r="H61" s="164">
        <v>0</v>
      </c>
      <c r="I61" s="179" t="str">
        <f t="shared" si="23"/>
        <v>-</v>
      </c>
      <c r="J61" s="163">
        <f t="shared" si="22"/>
        <v>0</v>
      </c>
      <c r="K61" s="165">
        <f t="shared" si="21"/>
        <v>0</v>
      </c>
    </row>
    <row r="62" spans="2:11" x14ac:dyDescent="0.25">
      <c r="B62" s="163" t="s">
        <v>136</v>
      </c>
      <c r="C62" s="164">
        <v>0</v>
      </c>
      <c r="D62" s="164">
        <v>0</v>
      </c>
      <c r="E62" s="164">
        <v>0</v>
      </c>
      <c r="F62" s="164">
        <v>0</v>
      </c>
      <c r="G62" s="164">
        <v>0</v>
      </c>
      <c r="H62" s="164">
        <v>0</v>
      </c>
      <c r="I62" s="179" t="str">
        <f t="shared" si="23"/>
        <v>-</v>
      </c>
      <c r="J62" s="163">
        <f t="shared" si="22"/>
        <v>0</v>
      </c>
      <c r="K62" s="165">
        <f t="shared" si="21"/>
        <v>0</v>
      </c>
    </row>
    <row r="63" spans="2:11" x14ac:dyDescent="0.25">
      <c r="B63" s="168" t="s">
        <v>150</v>
      </c>
      <c r="C63" s="169">
        <f t="shared" ref="C63:H63" si="24">IFERROR(C55-SUM(C56:C62),"nd")</f>
        <v>0</v>
      </c>
      <c r="D63" s="169">
        <f t="shared" si="24"/>
        <v>0</v>
      </c>
      <c r="E63" s="169">
        <f t="shared" si="24"/>
        <v>0</v>
      </c>
      <c r="F63" s="169">
        <f t="shared" si="24"/>
        <v>0</v>
      </c>
      <c r="G63" s="169">
        <f t="shared" si="24"/>
        <v>0</v>
      </c>
      <c r="H63" s="169">
        <f t="shared" si="24"/>
        <v>0</v>
      </c>
      <c r="I63" s="180" t="str">
        <f t="shared" si="23"/>
        <v>-</v>
      </c>
      <c r="J63" s="168">
        <f>H63-G63</f>
        <v>0</v>
      </c>
      <c r="K63" s="170">
        <f t="shared" si="21"/>
        <v>0</v>
      </c>
    </row>
    <row r="64" spans="2:11" x14ac:dyDescent="0.25">
      <c r="B64" s="155" t="s">
        <v>49</v>
      </c>
      <c r="C64" s="153"/>
      <c r="D64" s="153"/>
      <c r="E64" s="153"/>
      <c r="F64" s="153"/>
      <c r="G64" s="153"/>
      <c r="H64" s="153"/>
      <c r="I64" s="154"/>
      <c r="J64" s="154"/>
      <c r="K64" s="153"/>
    </row>
    <row r="65" spans="2:11" x14ac:dyDescent="0.25">
      <c r="B65" s="156" t="s">
        <v>73</v>
      </c>
      <c r="C65" s="176" t="str">
        <f t="shared" ref="C65:H65" si="25">IFERROR(C66+C69,"nd")</f>
        <v>nd</v>
      </c>
      <c r="D65" s="176" t="str">
        <f t="shared" si="25"/>
        <v>nd</v>
      </c>
      <c r="E65" s="176" t="str">
        <f t="shared" si="25"/>
        <v>nd</v>
      </c>
      <c r="F65" s="176" t="str">
        <f t="shared" si="25"/>
        <v>nd</v>
      </c>
      <c r="G65" s="176" t="str">
        <f t="shared" si="25"/>
        <v>nd</v>
      </c>
      <c r="H65" s="176" t="str">
        <f t="shared" si="25"/>
        <v>nd</v>
      </c>
      <c r="I65" s="177" t="str">
        <f>IFERROR(H65/G65-1,"-")</f>
        <v>-</v>
      </c>
      <c r="J65" s="176" t="str">
        <f>IFERROR(H65-G65,"-")</f>
        <v>-</v>
      </c>
      <c r="K65" s="177" t="str">
        <f>IFERROR(H65/H$9,"-")</f>
        <v>-</v>
      </c>
    </row>
    <row r="66" spans="2:11" x14ac:dyDescent="0.25">
      <c r="B66" s="159" t="s">
        <v>102</v>
      </c>
      <c r="C66" s="160" t="s">
        <v>323</v>
      </c>
      <c r="D66" s="160" t="s">
        <v>323</v>
      </c>
      <c r="E66" s="160" t="s">
        <v>323</v>
      </c>
      <c r="F66" s="160" t="s">
        <v>323</v>
      </c>
      <c r="G66" s="160" t="s">
        <v>323</v>
      </c>
      <c r="H66" s="160" t="s">
        <v>323</v>
      </c>
      <c r="I66" s="178" t="str">
        <f>IFERROR(H66/G66-1,"-")</f>
        <v>-</v>
      </c>
      <c r="J66" s="181" t="str">
        <f t="shared" ref="J66:J77" si="26">IFERROR(H66-G66,"-")</f>
        <v>-</v>
      </c>
      <c r="K66" s="161" t="str">
        <f t="shared" ref="K66:K77" si="27">IFERROR(H66/H$9,"-")</f>
        <v>-</v>
      </c>
    </row>
    <row r="67" spans="2:11" x14ac:dyDescent="0.25">
      <c r="B67" s="163" t="s">
        <v>108</v>
      </c>
      <c r="C67" s="164" t="s">
        <v>323</v>
      </c>
      <c r="D67" s="164" t="s">
        <v>323</v>
      </c>
      <c r="E67" s="164" t="s">
        <v>323</v>
      </c>
      <c r="F67" s="164" t="s">
        <v>323</v>
      </c>
      <c r="G67" s="164" t="s">
        <v>323</v>
      </c>
      <c r="H67" s="164" t="s">
        <v>323</v>
      </c>
      <c r="I67" s="179" t="str">
        <f>IFERROR(H67/G67-1,"-")</f>
        <v>-</v>
      </c>
      <c r="J67" s="182" t="str">
        <f t="shared" si="26"/>
        <v>-</v>
      </c>
      <c r="K67" s="165" t="str">
        <f t="shared" si="27"/>
        <v>-</v>
      </c>
    </row>
    <row r="68" spans="2:11" x14ac:dyDescent="0.25">
      <c r="B68" s="163" t="s">
        <v>105</v>
      </c>
      <c r="C68" s="164" t="s">
        <v>323</v>
      </c>
      <c r="D68" s="164" t="s">
        <v>323</v>
      </c>
      <c r="E68" s="164" t="s">
        <v>323</v>
      </c>
      <c r="F68" s="164" t="s">
        <v>323</v>
      </c>
      <c r="G68" s="164" t="s">
        <v>323</v>
      </c>
      <c r="H68" s="164" t="s">
        <v>323</v>
      </c>
      <c r="I68" s="179" t="str">
        <f>IFERROR(H68/G68-1,"-")</f>
        <v>-</v>
      </c>
      <c r="J68" s="182" t="str">
        <f t="shared" si="26"/>
        <v>-</v>
      </c>
      <c r="K68" s="165" t="str">
        <f t="shared" si="27"/>
        <v>-</v>
      </c>
    </row>
    <row r="69" spans="2:11" x14ac:dyDescent="0.25">
      <c r="B69" s="159" t="s">
        <v>112</v>
      </c>
      <c r="C69" s="160" t="s">
        <v>323</v>
      </c>
      <c r="D69" s="160" t="s">
        <v>323</v>
      </c>
      <c r="E69" s="160" t="s">
        <v>323</v>
      </c>
      <c r="F69" s="160" t="s">
        <v>323</v>
      </c>
      <c r="G69" s="160" t="s">
        <v>323</v>
      </c>
      <c r="H69" s="160" t="s">
        <v>323</v>
      </c>
      <c r="I69" s="178" t="str">
        <f>IFERROR(H69/G69-1,"-")</f>
        <v>-</v>
      </c>
      <c r="J69" s="181" t="str">
        <f t="shared" si="26"/>
        <v>-</v>
      </c>
      <c r="K69" s="161" t="str">
        <f t="shared" si="27"/>
        <v>-</v>
      </c>
    </row>
    <row r="70" spans="2:11" x14ac:dyDescent="0.25">
      <c r="B70" s="163" t="s">
        <v>115</v>
      </c>
      <c r="C70" s="164" t="s">
        <v>323</v>
      </c>
      <c r="D70" s="164" t="s">
        <v>323</v>
      </c>
      <c r="E70" s="164" t="s">
        <v>323</v>
      </c>
      <c r="F70" s="164" t="s">
        <v>323</v>
      </c>
      <c r="G70" s="164" t="s">
        <v>323</v>
      </c>
      <c r="H70" s="164" t="s">
        <v>323</v>
      </c>
      <c r="I70" s="179" t="str">
        <f t="shared" ref="I70:I77" si="28">IFERROR(H70/G70-1,"-")</f>
        <v>-</v>
      </c>
      <c r="J70" s="182" t="str">
        <f t="shared" si="26"/>
        <v>-</v>
      </c>
      <c r="K70" s="165" t="str">
        <f t="shared" si="27"/>
        <v>-</v>
      </c>
    </row>
    <row r="71" spans="2:11" x14ac:dyDescent="0.25">
      <c r="B71" s="163" t="s">
        <v>118</v>
      </c>
      <c r="C71" s="164" t="s">
        <v>323</v>
      </c>
      <c r="D71" s="164" t="s">
        <v>323</v>
      </c>
      <c r="E71" s="164" t="s">
        <v>323</v>
      </c>
      <c r="F71" s="164" t="s">
        <v>323</v>
      </c>
      <c r="G71" s="164" t="s">
        <v>323</v>
      </c>
      <c r="H71" s="164" t="s">
        <v>323</v>
      </c>
      <c r="I71" s="179" t="str">
        <f t="shared" si="28"/>
        <v>-</v>
      </c>
      <c r="J71" s="182" t="str">
        <f t="shared" si="26"/>
        <v>-</v>
      </c>
      <c r="K71" s="165" t="str">
        <f t="shared" si="27"/>
        <v>-</v>
      </c>
    </row>
    <row r="72" spans="2:11" x14ac:dyDescent="0.25">
      <c r="B72" s="163" t="s">
        <v>121</v>
      </c>
      <c r="C72" s="164" t="s">
        <v>323</v>
      </c>
      <c r="D72" s="164" t="s">
        <v>323</v>
      </c>
      <c r="E72" s="164" t="s">
        <v>323</v>
      </c>
      <c r="F72" s="164" t="s">
        <v>323</v>
      </c>
      <c r="G72" s="164" t="s">
        <v>323</v>
      </c>
      <c r="H72" s="164" t="s">
        <v>323</v>
      </c>
      <c r="I72" s="179" t="str">
        <f t="shared" si="28"/>
        <v>-</v>
      </c>
      <c r="J72" s="182" t="str">
        <f t="shared" si="26"/>
        <v>-</v>
      </c>
      <c r="K72" s="165" t="str">
        <f t="shared" si="27"/>
        <v>-</v>
      </c>
    </row>
    <row r="73" spans="2:11" x14ac:dyDescent="0.25">
      <c r="B73" s="163" t="s">
        <v>128</v>
      </c>
      <c r="C73" s="164" t="s">
        <v>323</v>
      </c>
      <c r="D73" s="164" t="s">
        <v>323</v>
      </c>
      <c r="E73" s="164" t="s">
        <v>323</v>
      </c>
      <c r="F73" s="164" t="s">
        <v>323</v>
      </c>
      <c r="G73" s="164" t="s">
        <v>323</v>
      </c>
      <c r="H73" s="164" t="s">
        <v>323</v>
      </c>
      <c r="I73" s="179" t="str">
        <f t="shared" si="28"/>
        <v>-</v>
      </c>
      <c r="J73" s="182" t="str">
        <f t="shared" si="26"/>
        <v>-</v>
      </c>
      <c r="K73" s="165" t="str">
        <f t="shared" si="27"/>
        <v>-</v>
      </c>
    </row>
    <row r="74" spans="2:11" x14ac:dyDescent="0.25">
      <c r="B74" s="163" t="s">
        <v>124</v>
      </c>
      <c r="C74" s="164" t="s">
        <v>323</v>
      </c>
      <c r="D74" s="164" t="s">
        <v>323</v>
      </c>
      <c r="E74" s="164" t="s">
        <v>323</v>
      </c>
      <c r="F74" s="164" t="s">
        <v>323</v>
      </c>
      <c r="G74" s="164" t="s">
        <v>323</v>
      </c>
      <c r="H74" s="164" t="s">
        <v>323</v>
      </c>
      <c r="I74" s="179" t="str">
        <f t="shared" si="28"/>
        <v>-</v>
      </c>
      <c r="J74" s="182" t="str">
        <f t="shared" si="26"/>
        <v>-</v>
      </c>
      <c r="K74" s="165" t="str">
        <f t="shared" si="27"/>
        <v>-</v>
      </c>
    </row>
    <row r="75" spans="2:11" x14ac:dyDescent="0.25">
      <c r="B75" s="163" t="s">
        <v>133</v>
      </c>
      <c r="C75" s="164" t="s">
        <v>323</v>
      </c>
      <c r="D75" s="164" t="s">
        <v>323</v>
      </c>
      <c r="E75" s="164" t="s">
        <v>323</v>
      </c>
      <c r="F75" s="164" t="s">
        <v>323</v>
      </c>
      <c r="G75" s="164" t="s">
        <v>323</v>
      </c>
      <c r="H75" s="164" t="s">
        <v>323</v>
      </c>
      <c r="I75" s="179" t="str">
        <f t="shared" si="28"/>
        <v>-</v>
      </c>
      <c r="J75" s="182" t="str">
        <f t="shared" si="26"/>
        <v>-</v>
      </c>
      <c r="K75" s="165" t="str">
        <f t="shared" si="27"/>
        <v>-</v>
      </c>
    </row>
    <row r="76" spans="2:11" x14ac:dyDescent="0.25">
      <c r="B76" s="163" t="s">
        <v>136</v>
      </c>
      <c r="C76" s="164" t="s">
        <v>323</v>
      </c>
      <c r="D76" s="164" t="s">
        <v>323</v>
      </c>
      <c r="E76" s="164" t="s">
        <v>323</v>
      </c>
      <c r="F76" s="164" t="s">
        <v>323</v>
      </c>
      <c r="G76" s="164" t="s">
        <v>323</v>
      </c>
      <c r="H76" s="164" t="s">
        <v>323</v>
      </c>
      <c r="I76" s="179" t="str">
        <f t="shared" si="28"/>
        <v>-</v>
      </c>
      <c r="J76" s="182" t="str">
        <f t="shared" si="26"/>
        <v>-</v>
      </c>
      <c r="K76" s="165" t="str">
        <f t="shared" si="27"/>
        <v>-</v>
      </c>
    </row>
    <row r="77" spans="2:11" x14ac:dyDescent="0.25">
      <c r="B77" s="168" t="s">
        <v>150</v>
      </c>
      <c r="C77" s="169" t="str">
        <f t="shared" ref="C77:H77" si="29">IFERROR(C69-SUM(C70:C76),"nd")</f>
        <v>nd</v>
      </c>
      <c r="D77" s="169" t="str">
        <f t="shared" si="29"/>
        <v>nd</v>
      </c>
      <c r="E77" s="169" t="str">
        <f t="shared" si="29"/>
        <v>nd</v>
      </c>
      <c r="F77" s="169" t="str">
        <f t="shared" si="29"/>
        <v>nd</v>
      </c>
      <c r="G77" s="169" t="str">
        <f t="shared" si="29"/>
        <v>nd</v>
      </c>
      <c r="H77" s="169" t="str">
        <f t="shared" si="29"/>
        <v>nd</v>
      </c>
      <c r="I77" s="180" t="str">
        <f t="shared" si="28"/>
        <v>-</v>
      </c>
      <c r="J77" s="183" t="str">
        <f t="shared" si="26"/>
        <v>-</v>
      </c>
      <c r="K77" s="170" t="str">
        <f t="shared" si="27"/>
        <v>-</v>
      </c>
    </row>
    <row r="78" spans="2:11" x14ac:dyDescent="0.25">
      <c r="B78" s="155" t="s">
        <v>50</v>
      </c>
      <c r="C78" s="153"/>
      <c r="D78" s="153"/>
      <c r="E78" s="153"/>
      <c r="F78" s="153"/>
      <c r="G78" s="153"/>
      <c r="H78" s="153"/>
      <c r="I78" s="154"/>
      <c r="J78" s="154"/>
      <c r="K78" s="153"/>
    </row>
    <row r="79" spans="2:11" x14ac:dyDescent="0.25">
      <c r="B79" s="156" t="s">
        <v>73</v>
      </c>
      <c r="C79" s="176">
        <f t="shared" ref="C79:H79" si="30">IFERROR(C80+C83,"nd")</f>
        <v>26357</v>
      </c>
      <c r="D79" s="176">
        <f t="shared" si="30"/>
        <v>75897</v>
      </c>
      <c r="E79" s="176">
        <f t="shared" si="30"/>
        <v>85480</v>
      </c>
      <c r="F79" s="176">
        <f t="shared" si="30"/>
        <v>99770</v>
      </c>
      <c r="G79" s="176">
        <f t="shared" si="30"/>
        <v>112305</v>
      </c>
      <c r="H79" s="176">
        <f t="shared" si="30"/>
        <v>101889</v>
      </c>
      <c r="I79" s="177">
        <f>IFERROR(H79/G79-1,"-")</f>
        <v>-9.2747428876719606E-2</v>
      </c>
      <c r="J79" s="176">
        <f>IFERROR(H79-G79,"-")</f>
        <v>-10416</v>
      </c>
      <c r="K79" s="177">
        <f>IFERROR(H79/H$9,"-")</f>
        <v>0.14454308671819141</v>
      </c>
    </row>
    <row r="80" spans="2:11" x14ac:dyDescent="0.25">
      <c r="B80" s="159" t="s">
        <v>102</v>
      </c>
      <c r="C80" s="160">
        <v>15318</v>
      </c>
      <c r="D80" s="160">
        <v>37020</v>
      </c>
      <c r="E80" s="160">
        <v>38724</v>
      </c>
      <c r="F80" s="160">
        <v>48806</v>
      </c>
      <c r="G80" s="160">
        <v>53287</v>
      </c>
      <c r="H80" s="160">
        <v>53146</v>
      </c>
      <c r="I80" s="178">
        <f>IFERROR(H80/G80-1,"-")</f>
        <v>-2.6460487548557454E-3</v>
      </c>
      <c r="J80" s="181">
        <f t="shared" ref="J80:J91" si="31">IFERROR(H80-G80,"-")</f>
        <v>-141</v>
      </c>
      <c r="K80" s="161">
        <f t="shared" ref="K80:K91" si="32">IFERROR(H80/H$9,"-")</f>
        <v>7.5394663670513992E-2</v>
      </c>
    </row>
    <row r="81" spans="2:11" x14ac:dyDescent="0.25">
      <c r="B81" s="163" t="s">
        <v>108</v>
      </c>
      <c r="C81" s="164">
        <v>8262</v>
      </c>
      <c r="D81" s="164">
        <v>18325</v>
      </c>
      <c r="E81" s="164">
        <v>20720</v>
      </c>
      <c r="F81" s="164">
        <v>21193</v>
      </c>
      <c r="G81" s="164">
        <v>16438</v>
      </c>
      <c r="H81" s="164">
        <v>22102</v>
      </c>
      <c r="I81" s="179">
        <f>IFERROR(H81/G81-1,"-")</f>
        <v>0.34456746562842189</v>
      </c>
      <c r="J81" s="182">
        <f t="shared" si="31"/>
        <v>5664</v>
      </c>
      <c r="K81" s="165">
        <f t="shared" si="32"/>
        <v>3.1354624175774289E-2</v>
      </c>
    </row>
    <row r="82" spans="2:11" x14ac:dyDescent="0.25">
      <c r="B82" s="163" t="s">
        <v>105</v>
      </c>
      <c r="C82" s="164">
        <v>7056</v>
      </c>
      <c r="D82" s="164">
        <v>18695</v>
      </c>
      <c r="E82" s="164">
        <v>18004</v>
      </c>
      <c r="F82" s="164">
        <v>27613</v>
      </c>
      <c r="G82" s="164">
        <v>36849</v>
      </c>
      <c r="H82" s="164">
        <v>31044</v>
      </c>
      <c r="I82" s="179">
        <f>IFERROR(H82/G82-1,"-")</f>
        <v>-0.15753480420092814</v>
      </c>
      <c r="J82" s="182">
        <f t="shared" si="31"/>
        <v>-5805</v>
      </c>
      <c r="K82" s="165">
        <f t="shared" si="32"/>
        <v>4.4040039494739711E-2</v>
      </c>
    </row>
    <row r="83" spans="2:11" x14ac:dyDescent="0.25">
      <c r="B83" s="159" t="s">
        <v>112</v>
      </c>
      <c r="C83" s="160">
        <v>11039</v>
      </c>
      <c r="D83" s="160">
        <v>38877</v>
      </c>
      <c r="E83" s="160">
        <v>46756</v>
      </c>
      <c r="F83" s="160">
        <v>50964</v>
      </c>
      <c r="G83" s="160">
        <v>59018</v>
      </c>
      <c r="H83" s="160">
        <v>48743</v>
      </c>
      <c r="I83" s="178">
        <f>IFERROR(H83/G83-1,"-")</f>
        <v>-0.17409942729336814</v>
      </c>
      <c r="J83" s="181">
        <f t="shared" si="31"/>
        <v>-10275</v>
      </c>
      <c r="K83" s="161">
        <f t="shared" si="32"/>
        <v>6.9148423047677418E-2</v>
      </c>
    </row>
    <row r="84" spans="2:11" x14ac:dyDescent="0.25">
      <c r="B84" s="163" t="s">
        <v>115</v>
      </c>
      <c r="C84" s="164">
        <v>443</v>
      </c>
      <c r="D84" s="164">
        <v>5286</v>
      </c>
      <c r="E84" s="164">
        <v>6342</v>
      </c>
      <c r="F84" s="164">
        <v>7919</v>
      </c>
      <c r="G84" s="164">
        <v>7684</v>
      </c>
      <c r="H84" s="164">
        <v>7112</v>
      </c>
      <c r="I84" s="179">
        <f t="shared" ref="I84:I91" si="33">IFERROR(H84/G84-1,"-")</f>
        <v>-7.4440395627277445E-2</v>
      </c>
      <c r="J84" s="182">
        <f t="shared" si="31"/>
        <v>-572</v>
      </c>
      <c r="K84" s="165">
        <f t="shared" si="32"/>
        <v>1.0089317126871177E-2</v>
      </c>
    </row>
    <row r="85" spans="2:11" x14ac:dyDescent="0.25">
      <c r="B85" s="163" t="s">
        <v>118</v>
      </c>
      <c r="C85" s="164">
        <v>2445</v>
      </c>
      <c r="D85" s="164">
        <v>8622</v>
      </c>
      <c r="E85" s="164">
        <v>9175</v>
      </c>
      <c r="F85" s="164">
        <v>10457</v>
      </c>
      <c r="G85" s="164">
        <v>12072</v>
      </c>
      <c r="H85" s="164">
        <v>9744</v>
      </c>
      <c r="I85" s="179">
        <f t="shared" si="33"/>
        <v>-0.19284294234592447</v>
      </c>
      <c r="J85" s="182">
        <f t="shared" si="31"/>
        <v>-2328</v>
      </c>
      <c r="K85" s="165">
        <f t="shared" si="32"/>
        <v>1.382315889823295E-2</v>
      </c>
    </row>
    <row r="86" spans="2:11" x14ac:dyDescent="0.25">
      <c r="B86" s="163" t="s">
        <v>121</v>
      </c>
      <c r="C86" s="164">
        <v>1787</v>
      </c>
      <c r="D86" s="164">
        <v>2912</v>
      </c>
      <c r="E86" s="164">
        <v>2859</v>
      </c>
      <c r="F86" s="164">
        <v>3252</v>
      </c>
      <c r="G86" s="164">
        <v>6864</v>
      </c>
      <c r="H86" s="164">
        <v>5278</v>
      </c>
      <c r="I86" s="179">
        <f t="shared" si="33"/>
        <v>-0.23106060606060608</v>
      </c>
      <c r="J86" s="182">
        <f t="shared" si="31"/>
        <v>-1586</v>
      </c>
      <c r="K86" s="165">
        <f t="shared" si="32"/>
        <v>7.4875444032095149E-3</v>
      </c>
    </row>
    <row r="87" spans="2:11" x14ac:dyDescent="0.25">
      <c r="B87" s="163" t="s">
        <v>128</v>
      </c>
      <c r="C87" s="164">
        <v>415</v>
      </c>
      <c r="D87" s="164">
        <v>2579</v>
      </c>
      <c r="E87" s="164">
        <v>2372</v>
      </c>
      <c r="F87" s="164">
        <v>3025</v>
      </c>
      <c r="G87" s="164">
        <v>1854</v>
      </c>
      <c r="H87" s="164">
        <v>1667</v>
      </c>
      <c r="I87" s="179">
        <f t="shared" si="33"/>
        <v>-0.10086299892125139</v>
      </c>
      <c r="J87" s="182">
        <f t="shared" si="31"/>
        <v>-187</v>
      </c>
      <c r="K87" s="165">
        <f t="shared" si="32"/>
        <v>2.3648610307219139E-3</v>
      </c>
    </row>
    <row r="88" spans="2:11" x14ac:dyDescent="0.25">
      <c r="B88" s="163" t="s">
        <v>124</v>
      </c>
      <c r="C88" s="164">
        <v>181</v>
      </c>
      <c r="D88" s="164">
        <v>476</v>
      </c>
      <c r="E88" s="164">
        <v>362</v>
      </c>
      <c r="F88" s="164">
        <v>513</v>
      </c>
      <c r="G88" s="164">
        <v>537</v>
      </c>
      <c r="H88" s="164">
        <v>530</v>
      </c>
      <c r="I88" s="179">
        <f t="shared" si="33"/>
        <v>-1.3035381750465591E-2</v>
      </c>
      <c r="J88" s="182">
        <f t="shared" si="31"/>
        <v>-7</v>
      </c>
      <c r="K88" s="165">
        <f t="shared" si="32"/>
        <v>7.5187543268303203E-4</v>
      </c>
    </row>
    <row r="89" spans="2:11" x14ac:dyDescent="0.25">
      <c r="B89" s="163" t="s">
        <v>133</v>
      </c>
      <c r="C89" s="164">
        <v>137</v>
      </c>
      <c r="D89" s="164">
        <v>1917</v>
      </c>
      <c r="E89" s="164">
        <v>2893</v>
      </c>
      <c r="F89" s="164">
        <v>2068</v>
      </c>
      <c r="G89" s="164">
        <v>2315</v>
      </c>
      <c r="H89" s="164">
        <v>1892</v>
      </c>
      <c r="I89" s="179">
        <f t="shared" si="33"/>
        <v>-0.18272138228941681</v>
      </c>
      <c r="J89" s="182">
        <f t="shared" si="31"/>
        <v>-423</v>
      </c>
      <c r="K89" s="165">
        <f t="shared" si="32"/>
        <v>2.6840534313892386E-3</v>
      </c>
    </row>
    <row r="90" spans="2:11" x14ac:dyDescent="0.25">
      <c r="B90" s="163" t="s">
        <v>136</v>
      </c>
      <c r="C90" s="164">
        <v>226</v>
      </c>
      <c r="D90" s="164">
        <v>1764</v>
      </c>
      <c r="E90" s="164">
        <v>3260</v>
      </c>
      <c r="F90" s="164">
        <v>3059</v>
      </c>
      <c r="G90" s="164">
        <v>1964</v>
      </c>
      <c r="H90" s="164">
        <v>2312</v>
      </c>
      <c r="I90" s="179">
        <f t="shared" si="33"/>
        <v>0.17718940936863548</v>
      </c>
      <c r="J90" s="182">
        <f t="shared" si="31"/>
        <v>348</v>
      </c>
      <c r="K90" s="165">
        <f t="shared" si="32"/>
        <v>3.2798792459682452E-3</v>
      </c>
    </row>
    <row r="91" spans="2:11" x14ac:dyDescent="0.25">
      <c r="B91" s="168" t="s">
        <v>150</v>
      </c>
      <c r="C91" s="169">
        <f t="shared" ref="C91:H91" si="34">IFERROR(C83-SUM(C84:C90),"nd")</f>
        <v>5405</v>
      </c>
      <c r="D91" s="169">
        <f t="shared" si="34"/>
        <v>15321</v>
      </c>
      <c r="E91" s="169">
        <f t="shared" si="34"/>
        <v>19493</v>
      </c>
      <c r="F91" s="169">
        <f t="shared" si="34"/>
        <v>20671</v>
      </c>
      <c r="G91" s="169">
        <f t="shared" si="34"/>
        <v>25728</v>
      </c>
      <c r="H91" s="169">
        <f t="shared" si="34"/>
        <v>20208</v>
      </c>
      <c r="I91" s="180">
        <f t="shared" si="33"/>
        <v>-0.21455223880597019</v>
      </c>
      <c r="J91" s="183">
        <f t="shared" si="31"/>
        <v>-5520</v>
      </c>
      <c r="K91" s="170">
        <f t="shared" si="32"/>
        <v>2.866773347860134E-2</v>
      </c>
    </row>
    <row r="92" spans="2:11" x14ac:dyDescent="0.25">
      <c r="B92" s="155" t="s">
        <v>51</v>
      </c>
      <c r="C92" s="153"/>
      <c r="D92" s="153"/>
      <c r="E92" s="153"/>
      <c r="F92" s="153"/>
      <c r="G92" s="153"/>
      <c r="H92" s="153"/>
      <c r="I92" s="154"/>
      <c r="J92" s="154"/>
      <c r="K92" s="153"/>
    </row>
    <row r="93" spans="2:11" x14ac:dyDescent="0.25">
      <c r="B93" s="156" t="s">
        <v>73</v>
      </c>
      <c r="C93" s="176" t="str">
        <f t="shared" ref="C93:H93" si="35">IFERROR(C94+C97,"nd")</f>
        <v>nd</v>
      </c>
      <c r="D93" s="176" t="str">
        <f t="shared" si="35"/>
        <v>nd</v>
      </c>
      <c r="E93" s="176" t="str">
        <f t="shared" si="35"/>
        <v>nd</v>
      </c>
      <c r="F93" s="176" t="str">
        <f t="shared" si="35"/>
        <v>nd</v>
      </c>
      <c r="G93" s="176" t="str">
        <f t="shared" si="35"/>
        <v>nd</v>
      </c>
      <c r="H93" s="176" t="str">
        <f t="shared" si="35"/>
        <v>nd</v>
      </c>
      <c r="I93" s="177" t="str">
        <f>IFERROR(H93/G93-1,"-")</f>
        <v>-</v>
      </c>
      <c r="J93" s="176" t="str">
        <f>IFERROR(H93-G93,"-")</f>
        <v>-</v>
      </c>
      <c r="K93" s="177" t="str">
        <f>IFERROR(H93/H$9,"-")</f>
        <v>-</v>
      </c>
    </row>
    <row r="94" spans="2:11" x14ac:dyDescent="0.25">
      <c r="B94" s="159" t="s">
        <v>102</v>
      </c>
      <c r="C94" s="160" t="s">
        <v>323</v>
      </c>
      <c r="D94" s="160" t="s">
        <v>323</v>
      </c>
      <c r="E94" s="160" t="s">
        <v>323</v>
      </c>
      <c r="F94" s="160" t="s">
        <v>323</v>
      </c>
      <c r="G94" s="160" t="s">
        <v>323</v>
      </c>
      <c r="H94" s="160" t="s">
        <v>323</v>
      </c>
      <c r="I94" s="178" t="str">
        <f>IFERROR(H94/G94-1,"-")</f>
        <v>-</v>
      </c>
      <c r="J94" s="181" t="str">
        <f t="shared" ref="J94:J105" si="36">IFERROR(H94-G94,"-")</f>
        <v>-</v>
      </c>
      <c r="K94" s="161" t="str">
        <f t="shared" ref="K94:K105" si="37">IFERROR(H94/H$9,"-")</f>
        <v>-</v>
      </c>
    </row>
    <row r="95" spans="2:11" x14ac:dyDescent="0.25">
      <c r="B95" s="163" t="s">
        <v>108</v>
      </c>
      <c r="C95" s="164" t="s">
        <v>323</v>
      </c>
      <c r="D95" s="164" t="s">
        <v>323</v>
      </c>
      <c r="E95" s="164" t="s">
        <v>323</v>
      </c>
      <c r="F95" s="164" t="s">
        <v>323</v>
      </c>
      <c r="G95" s="164" t="s">
        <v>323</v>
      </c>
      <c r="H95" s="164" t="s">
        <v>323</v>
      </c>
      <c r="I95" s="179" t="str">
        <f>IFERROR(H95/G95-1,"-")</f>
        <v>-</v>
      </c>
      <c r="J95" s="182" t="str">
        <f t="shared" si="36"/>
        <v>-</v>
      </c>
      <c r="K95" s="165" t="str">
        <f t="shared" si="37"/>
        <v>-</v>
      </c>
    </row>
    <row r="96" spans="2:11" x14ac:dyDescent="0.25">
      <c r="B96" s="163" t="s">
        <v>105</v>
      </c>
      <c r="C96" s="164" t="s">
        <v>323</v>
      </c>
      <c r="D96" s="164" t="s">
        <v>323</v>
      </c>
      <c r="E96" s="164" t="s">
        <v>323</v>
      </c>
      <c r="F96" s="164" t="s">
        <v>323</v>
      </c>
      <c r="G96" s="164" t="s">
        <v>323</v>
      </c>
      <c r="H96" s="164" t="s">
        <v>323</v>
      </c>
      <c r="I96" s="179" t="str">
        <f>IFERROR(H96/G96-1,"-")</f>
        <v>-</v>
      </c>
      <c r="J96" s="182" t="str">
        <f t="shared" si="36"/>
        <v>-</v>
      </c>
      <c r="K96" s="165" t="str">
        <f t="shared" si="37"/>
        <v>-</v>
      </c>
    </row>
    <row r="97" spans="2:11" x14ac:dyDescent="0.25">
      <c r="B97" s="159" t="s">
        <v>112</v>
      </c>
      <c r="C97" s="160" t="s">
        <v>323</v>
      </c>
      <c r="D97" s="160" t="s">
        <v>323</v>
      </c>
      <c r="E97" s="160" t="s">
        <v>323</v>
      </c>
      <c r="F97" s="160" t="s">
        <v>323</v>
      </c>
      <c r="G97" s="160" t="s">
        <v>323</v>
      </c>
      <c r="H97" s="160" t="s">
        <v>323</v>
      </c>
      <c r="I97" s="178" t="str">
        <f>IFERROR(H97/G97-1,"-")</f>
        <v>-</v>
      </c>
      <c r="J97" s="181" t="str">
        <f t="shared" si="36"/>
        <v>-</v>
      </c>
      <c r="K97" s="161" t="str">
        <f t="shared" si="37"/>
        <v>-</v>
      </c>
    </row>
    <row r="98" spans="2:11" x14ac:dyDescent="0.25">
      <c r="B98" s="163" t="s">
        <v>115</v>
      </c>
      <c r="C98" s="164" t="s">
        <v>323</v>
      </c>
      <c r="D98" s="164" t="s">
        <v>323</v>
      </c>
      <c r="E98" s="164" t="s">
        <v>323</v>
      </c>
      <c r="F98" s="164" t="s">
        <v>323</v>
      </c>
      <c r="G98" s="164" t="s">
        <v>323</v>
      </c>
      <c r="H98" s="164" t="s">
        <v>323</v>
      </c>
      <c r="I98" s="179" t="str">
        <f t="shared" ref="I98:I105" si="38">IFERROR(H98/G98-1,"-")</f>
        <v>-</v>
      </c>
      <c r="J98" s="182" t="str">
        <f t="shared" si="36"/>
        <v>-</v>
      </c>
      <c r="K98" s="165" t="str">
        <f t="shared" si="37"/>
        <v>-</v>
      </c>
    </row>
    <row r="99" spans="2:11" x14ac:dyDescent="0.25">
      <c r="B99" s="163" t="s">
        <v>118</v>
      </c>
      <c r="C99" s="164" t="s">
        <v>323</v>
      </c>
      <c r="D99" s="164" t="s">
        <v>323</v>
      </c>
      <c r="E99" s="164" t="s">
        <v>323</v>
      </c>
      <c r="F99" s="164" t="s">
        <v>323</v>
      </c>
      <c r="G99" s="164" t="s">
        <v>323</v>
      </c>
      <c r="H99" s="164" t="s">
        <v>323</v>
      </c>
      <c r="I99" s="179" t="str">
        <f t="shared" si="38"/>
        <v>-</v>
      </c>
      <c r="J99" s="182" t="str">
        <f t="shared" si="36"/>
        <v>-</v>
      </c>
      <c r="K99" s="165" t="str">
        <f t="shared" si="37"/>
        <v>-</v>
      </c>
    </row>
    <row r="100" spans="2:11" x14ac:dyDescent="0.25">
      <c r="B100" s="163" t="s">
        <v>121</v>
      </c>
      <c r="C100" s="164" t="s">
        <v>323</v>
      </c>
      <c r="D100" s="164" t="s">
        <v>323</v>
      </c>
      <c r="E100" s="164" t="s">
        <v>323</v>
      </c>
      <c r="F100" s="164" t="s">
        <v>323</v>
      </c>
      <c r="G100" s="164" t="s">
        <v>323</v>
      </c>
      <c r="H100" s="164" t="s">
        <v>323</v>
      </c>
      <c r="I100" s="179" t="str">
        <f t="shared" si="38"/>
        <v>-</v>
      </c>
      <c r="J100" s="182" t="str">
        <f t="shared" si="36"/>
        <v>-</v>
      </c>
      <c r="K100" s="165" t="str">
        <f t="shared" si="37"/>
        <v>-</v>
      </c>
    </row>
    <row r="101" spans="2:11" x14ac:dyDescent="0.25">
      <c r="B101" s="163" t="s">
        <v>128</v>
      </c>
      <c r="C101" s="164" t="s">
        <v>323</v>
      </c>
      <c r="D101" s="164" t="s">
        <v>323</v>
      </c>
      <c r="E101" s="164" t="s">
        <v>323</v>
      </c>
      <c r="F101" s="164" t="s">
        <v>323</v>
      </c>
      <c r="G101" s="164" t="s">
        <v>323</v>
      </c>
      <c r="H101" s="164" t="s">
        <v>323</v>
      </c>
      <c r="I101" s="179" t="str">
        <f t="shared" si="38"/>
        <v>-</v>
      </c>
      <c r="J101" s="182" t="str">
        <f t="shared" si="36"/>
        <v>-</v>
      </c>
      <c r="K101" s="165" t="str">
        <f t="shared" si="37"/>
        <v>-</v>
      </c>
    </row>
    <row r="102" spans="2:11" x14ac:dyDescent="0.25">
      <c r="B102" s="163" t="s">
        <v>124</v>
      </c>
      <c r="C102" s="164" t="s">
        <v>323</v>
      </c>
      <c r="D102" s="164" t="s">
        <v>323</v>
      </c>
      <c r="E102" s="164" t="s">
        <v>323</v>
      </c>
      <c r="F102" s="164" t="s">
        <v>323</v>
      </c>
      <c r="G102" s="164" t="s">
        <v>323</v>
      </c>
      <c r="H102" s="164" t="s">
        <v>323</v>
      </c>
      <c r="I102" s="179" t="str">
        <f t="shared" si="38"/>
        <v>-</v>
      </c>
      <c r="J102" s="182" t="str">
        <f t="shared" si="36"/>
        <v>-</v>
      </c>
      <c r="K102" s="165" t="str">
        <f t="shared" si="37"/>
        <v>-</v>
      </c>
    </row>
    <row r="103" spans="2:11" x14ac:dyDescent="0.25">
      <c r="B103" s="163" t="s">
        <v>133</v>
      </c>
      <c r="C103" s="164" t="s">
        <v>323</v>
      </c>
      <c r="D103" s="164" t="s">
        <v>323</v>
      </c>
      <c r="E103" s="164" t="s">
        <v>323</v>
      </c>
      <c r="F103" s="164" t="s">
        <v>323</v>
      </c>
      <c r="G103" s="164" t="s">
        <v>323</v>
      </c>
      <c r="H103" s="164" t="s">
        <v>323</v>
      </c>
      <c r="I103" s="179" t="str">
        <f t="shared" si="38"/>
        <v>-</v>
      </c>
      <c r="J103" s="182" t="str">
        <f t="shared" si="36"/>
        <v>-</v>
      </c>
      <c r="K103" s="165" t="str">
        <f t="shared" si="37"/>
        <v>-</v>
      </c>
    </row>
    <row r="104" spans="2:11" x14ac:dyDescent="0.25">
      <c r="B104" s="163" t="s">
        <v>136</v>
      </c>
      <c r="C104" s="164" t="s">
        <v>323</v>
      </c>
      <c r="D104" s="164" t="s">
        <v>323</v>
      </c>
      <c r="E104" s="164" t="s">
        <v>323</v>
      </c>
      <c r="F104" s="164" t="s">
        <v>323</v>
      </c>
      <c r="G104" s="164" t="s">
        <v>323</v>
      </c>
      <c r="H104" s="164" t="s">
        <v>323</v>
      </c>
      <c r="I104" s="179" t="str">
        <f t="shared" si="38"/>
        <v>-</v>
      </c>
      <c r="J104" s="182" t="str">
        <f t="shared" si="36"/>
        <v>-</v>
      </c>
      <c r="K104" s="165" t="str">
        <f t="shared" si="37"/>
        <v>-</v>
      </c>
    </row>
    <row r="105" spans="2:11" x14ac:dyDescent="0.25">
      <c r="B105" s="168" t="s">
        <v>150</v>
      </c>
      <c r="C105" s="169" t="str">
        <f t="shared" ref="C105:H105" si="39">IFERROR(C97-SUM(C98:C104),"nd")</f>
        <v>nd</v>
      </c>
      <c r="D105" s="169" t="str">
        <f t="shared" si="39"/>
        <v>nd</v>
      </c>
      <c r="E105" s="169" t="str">
        <f t="shared" si="39"/>
        <v>nd</v>
      </c>
      <c r="F105" s="169" t="str">
        <f t="shared" si="39"/>
        <v>nd</v>
      </c>
      <c r="G105" s="169" t="str">
        <f t="shared" si="39"/>
        <v>nd</v>
      </c>
      <c r="H105" s="169" t="str">
        <f t="shared" si="39"/>
        <v>nd</v>
      </c>
      <c r="I105" s="180" t="str">
        <f t="shared" si="38"/>
        <v>-</v>
      </c>
      <c r="J105" s="183" t="str">
        <f t="shared" si="36"/>
        <v>-</v>
      </c>
      <c r="K105" s="170" t="str">
        <f t="shared" si="37"/>
        <v>-</v>
      </c>
    </row>
    <row r="106" spans="2:11" x14ac:dyDescent="0.25">
      <c r="B106" s="155" t="s">
        <v>52</v>
      </c>
      <c r="C106" s="153"/>
      <c r="D106" s="153"/>
      <c r="E106" s="153"/>
      <c r="F106" s="153"/>
      <c r="G106" s="153"/>
      <c r="H106" s="153"/>
      <c r="I106" s="154"/>
      <c r="J106" s="154"/>
      <c r="K106" s="153"/>
    </row>
    <row r="107" spans="2:11" x14ac:dyDescent="0.25">
      <c r="B107" s="156" t="s">
        <v>73</v>
      </c>
      <c r="C107" s="176">
        <f t="shared" ref="C107:H107" si="40">IFERROR(C108+C111,"nd")</f>
        <v>1292</v>
      </c>
      <c r="D107" s="176">
        <f t="shared" si="40"/>
        <v>15703</v>
      </c>
      <c r="E107" s="176">
        <f t="shared" si="40"/>
        <v>18325</v>
      </c>
      <c r="F107" s="176">
        <f t="shared" si="40"/>
        <v>17901</v>
      </c>
      <c r="G107" s="176">
        <f t="shared" si="40"/>
        <v>19287</v>
      </c>
      <c r="H107" s="176">
        <f t="shared" si="40"/>
        <v>19654</v>
      </c>
      <c r="I107" s="177">
        <f>IFERROR(H107/G107-1,"-")</f>
        <v>1.9028361072224831E-2</v>
      </c>
      <c r="J107" s="176">
        <f>IFERROR(H107-G107,"-")</f>
        <v>367</v>
      </c>
      <c r="K107" s="177">
        <f>IFERROR(H107/H$9,"-")</f>
        <v>2.7881810856513794E-2</v>
      </c>
    </row>
    <row r="108" spans="2:11" x14ac:dyDescent="0.25">
      <c r="B108" s="159" t="s">
        <v>102</v>
      </c>
      <c r="C108" s="160">
        <v>931</v>
      </c>
      <c r="D108" s="160">
        <v>4339</v>
      </c>
      <c r="E108" s="160">
        <v>4018</v>
      </c>
      <c r="F108" s="160">
        <v>3129</v>
      </c>
      <c r="G108" s="160">
        <v>3725</v>
      </c>
      <c r="H108" s="160">
        <v>3524</v>
      </c>
      <c r="I108" s="178">
        <f>IFERROR(H108/G108-1,"-")</f>
        <v>-5.3959731543624212E-2</v>
      </c>
      <c r="J108" s="181">
        <f t="shared" ref="J108:J119" si="41">IFERROR(H108-G108,"-")</f>
        <v>-201</v>
      </c>
      <c r="K108" s="161">
        <f t="shared" ref="K108:K119" si="42">IFERROR(H108/H$9,"-")</f>
        <v>4.9992623108962358E-3</v>
      </c>
    </row>
    <row r="109" spans="2:11" x14ac:dyDescent="0.25">
      <c r="B109" s="163" t="s">
        <v>108</v>
      </c>
      <c r="C109" s="164">
        <v>718</v>
      </c>
      <c r="D109" s="164">
        <v>3252</v>
      </c>
      <c r="E109" s="164">
        <v>2845</v>
      </c>
      <c r="F109" s="164">
        <v>1788</v>
      </c>
      <c r="G109" s="164">
        <v>2177</v>
      </c>
      <c r="H109" s="164">
        <v>2269</v>
      </c>
      <c r="I109" s="179">
        <f>IFERROR(H109/G109-1,"-")</f>
        <v>4.2259990813045434E-2</v>
      </c>
      <c r="J109" s="182">
        <f t="shared" si="41"/>
        <v>92</v>
      </c>
      <c r="K109" s="165">
        <f t="shared" si="42"/>
        <v>3.21887803161849E-3</v>
      </c>
    </row>
    <row r="110" spans="2:11" x14ac:dyDescent="0.25">
      <c r="B110" s="163" t="s">
        <v>105</v>
      </c>
      <c r="C110" s="164">
        <v>213</v>
      </c>
      <c r="D110" s="164">
        <v>1087</v>
      </c>
      <c r="E110" s="164">
        <v>1173</v>
      </c>
      <c r="F110" s="164">
        <v>1341</v>
      </c>
      <c r="G110" s="164">
        <v>1548</v>
      </c>
      <c r="H110" s="164">
        <v>1255</v>
      </c>
      <c r="I110" s="179">
        <f>IFERROR(H110/G110-1,"-")</f>
        <v>-0.18927648578811374</v>
      </c>
      <c r="J110" s="182">
        <f t="shared" si="41"/>
        <v>-293</v>
      </c>
      <c r="K110" s="165">
        <f t="shared" si="42"/>
        <v>1.7803842792777456E-3</v>
      </c>
    </row>
    <row r="111" spans="2:11" x14ac:dyDescent="0.25">
      <c r="B111" s="159" t="s">
        <v>112</v>
      </c>
      <c r="C111" s="160">
        <v>361</v>
      </c>
      <c r="D111" s="160">
        <v>11364</v>
      </c>
      <c r="E111" s="160">
        <v>14307</v>
      </c>
      <c r="F111" s="160">
        <v>14772</v>
      </c>
      <c r="G111" s="160">
        <v>15562</v>
      </c>
      <c r="H111" s="160">
        <v>16130</v>
      </c>
      <c r="I111" s="178">
        <f>IFERROR(H111/G111-1,"-")</f>
        <v>3.6499164631795367E-2</v>
      </c>
      <c r="J111" s="181">
        <f t="shared" si="41"/>
        <v>568</v>
      </c>
      <c r="K111" s="161">
        <f t="shared" si="42"/>
        <v>2.2882548545617561E-2</v>
      </c>
    </row>
    <row r="112" spans="2:11" x14ac:dyDescent="0.25">
      <c r="B112" s="163" t="s">
        <v>115</v>
      </c>
      <c r="C112" s="164">
        <v>105</v>
      </c>
      <c r="D112" s="164">
        <v>6928</v>
      </c>
      <c r="E112" s="164">
        <v>8513</v>
      </c>
      <c r="F112" s="164">
        <v>8358</v>
      </c>
      <c r="G112" s="164">
        <v>8711</v>
      </c>
      <c r="H112" s="164">
        <v>9166</v>
      </c>
      <c r="I112" s="179">
        <f t="shared" ref="I112:I119" si="43">IFERROR(H112/G112-1,"-")</f>
        <v>5.2232809091952603E-2</v>
      </c>
      <c r="J112" s="182">
        <f t="shared" si="41"/>
        <v>455</v>
      </c>
      <c r="K112" s="165">
        <f t="shared" si="42"/>
        <v>1.3003189086740889E-2</v>
      </c>
    </row>
    <row r="113" spans="2:11" x14ac:dyDescent="0.25">
      <c r="B113" s="163" t="s">
        <v>118</v>
      </c>
      <c r="C113" s="164">
        <v>30</v>
      </c>
      <c r="D113" s="164">
        <v>425</v>
      </c>
      <c r="E113" s="164">
        <v>737</v>
      </c>
      <c r="F113" s="164">
        <v>718</v>
      </c>
      <c r="G113" s="164">
        <v>871</v>
      </c>
      <c r="H113" s="164">
        <v>928</v>
      </c>
      <c r="I113" s="179">
        <f t="shared" si="43"/>
        <v>6.5442020665901213E-2</v>
      </c>
      <c r="J113" s="182">
        <f t="shared" si="41"/>
        <v>57</v>
      </c>
      <c r="K113" s="165">
        <f t="shared" si="42"/>
        <v>1.3164913236412333E-3</v>
      </c>
    </row>
    <row r="114" spans="2:11" x14ac:dyDescent="0.25">
      <c r="B114" s="163" t="s">
        <v>121</v>
      </c>
      <c r="C114" s="164">
        <v>63</v>
      </c>
      <c r="D114" s="164">
        <v>577</v>
      </c>
      <c r="E114" s="164">
        <v>819</v>
      </c>
      <c r="F114" s="164">
        <v>834</v>
      </c>
      <c r="G114" s="164">
        <v>907</v>
      </c>
      <c r="H114" s="164">
        <v>1215</v>
      </c>
      <c r="I114" s="179">
        <f t="shared" si="43"/>
        <v>0.33958103638368242</v>
      </c>
      <c r="J114" s="182">
        <f t="shared" si="41"/>
        <v>308</v>
      </c>
      <c r="K114" s="165">
        <f t="shared" si="42"/>
        <v>1.7236389636035546E-3</v>
      </c>
    </row>
    <row r="115" spans="2:11" x14ac:dyDescent="0.25">
      <c r="B115" s="163" t="s">
        <v>128</v>
      </c>
      <c r="C115" s="164">
        <v>1</v>
      </c>
      <c r="D115" s="164">
        <v>226</v>
      </c>
      <c r="E115" s="164">
        <v>295</v>
      </c>
      <c r="F115" s="164">
        <v>316</v>
      </c>
      <c r="G115" s="164">
        <v>356</v>
      </c>
      <c r="H115" s="164">
        <v>343</v>
      </c>
      <c r="I115" s="179">
        <f t="shared" si="43"/>
        <v>-3.6516853932584303E-2</v>
      </c>
      <c r="J115" s="182">
        <f t="shared" si="41"/>
        <v>-13</v>
      </c>
      <c r="K115" s="165">
        <f t="shared" si="42"/>
        <v>4.8659108190618862E-4</v>
      </c>
    </row>
    <row r="116" spans="2:11" x14ac:dyDescent="0.25">
      <c r="B116" s="163" t="s">
        <v>124</v>
      </c>
      <c r="C116" s="164">
        <v>11</v>
      </c>
      <c r="D116" s="164">
        <v>234</v>
      </c>
      <c r="E116" s="164">
        <v>293</v>
      </c>
      <c r="F116" s="164">
        <v>249</v>
      </c>
      <c r="G116" s="164">
        <v>297</v>
      </c>
      <c r="H116" s="164">
        <v>369</v>
      </c>
      <c r="I116" s="179">
        <f t="shared" si="43"/>
        <v>0.24242424242424243</v>
      </c>
      <c r="J116" s="182">
        <f t="shared" si="41"/>
        <v>72</v>
      </c>
      <c r="K116" s="165">
        <f t="shared" si="42"/>
        <v>5.2347553709441281E-4</v>
      </c>
    </row>
    <row r="117" spans="2:11" x14ac:dyDescent="0.25">
      <c r="B117" s="163" t="s">
        <v>133</v>
      </c>
      <c r="C117" s="164">
        <v>9</v>
      </c>
      <c r="D117" s="164">
        <v>62</v>
      </c>
      <c r="E117" s="164">
        <v>114</v>
      </c>
      <c r="F117" s="164">
        <v>72</v>
      </c>
      <c r="G117" s="164">
        <v>66</v>
      </c>
      <c r="H117" s="164">
        <v>57</v>
      </c>
      <c r="I117" s="179">
        <f t="shared" si="43"/>
        <v>-0.13636363636363635</v>
      </c>
      <c r="J117" s="182">
        <f t="shared" si="41"/>
        <v>-9</v>
      </c>
      <c r="K117" s="165">
        <f t="shared" si="42"/>
        <v>8.0862074835722308E-5</v>
      </c>
    </row>
    <row r="118" spans="2:11" x14ac:dyDescent="0.25">
      <c r="B118" s="163" t="s">
        <v>136</v>
      </c>
      <c r="C118" s="164">
        <v>4</v>
      </c>
      <c r="D118" s="164">
        <v>80</v>
      </c>
      <c r="E118" s="164">
        <v>72</v>
      </c>
      <c r="F118" s="164">
        <v>90</v>
      </c>
      <c r="G118" s="164">
        <v>68</v>
      </c>
      <c r="H118" s="164">
        <v>67</v>
      </c>
      <c r="I118" s="179">
        <f t="shared" si="43"/>
        <v>-1.4705882352941124E-2</v>
      </c>
      <c r="J118" s="182">
        <f t="shared" si="41"/>
        <v>-1</v>
      </c>
      <c r="K118" s="165">
        <f t="shared" si="42"/>
        <v>9.5048403754270091E-5</v>
      </c>
    </row>
    <row r="119" spans="2:11" x14ac:dyDescent="0.25">
      <c r="B119" s="168" t="s">
        <v>150</v>
      </c>
      <c r="C119" s="169">
        <f t="shared" ref="C119:H119" si="44">IFERROR(C111-SUM(C112:C118),"nd")</f>
        <v>138</v>
      </c>
      <c r="D119" s="169">
        <f t="shared" si="44"/>
        <v>2832</v>
      </c>
      <c r="E119" s="169">
        <f t="shared" si="44"/>
        <v>3464</v>
      </c>
      <c r="F119" s="169">
        <f t="shared" si="44"/>
        <v>4135</v>
      </c>
      <c r="G119" s="169">
        <f t="shared" si="44"/>
        <v>4286</v>
      </c>
      <c r="H119" s="169">
        <f t="shared" si="44"/>
        <v>3985</v>
      </c>
      <c r="I119" s="180">
        <f t="shared" si="43"/>
        <v>-7.022865142323842E-2</v>
      </c>
      <c r="J119" s="183">
        <f t="shared" si="41"/>
        <v>-301</v>
      </c>
      <c r="K119" s="170">
        <f t="shared" si="42"/>
        <v>5.653252074041288E-3</v>
      </c>
    </row>
    <row r="120" spans="2:11" x14ac:dyDescent="0.25">
      <c r="B120" s="155" t="s">
        <v>53</v>
      </c>
      <c r="C120" s="153"/>
      <c r="D120" s="153"/>
      <c r="E120" s="153"/>
      <c r="F120" s="153"/>
      <c r="G120" s="153"/>
      <c r="H120" s="153"/>
      <c r="I120" s="154"/>
      <c r="J120" s="154"/>
      <c r="K120" s="153"/>
    </row>
    <row r="121" spans="2:11" x14ac:dyDescent="0.25">
      <c r="B121" s="156" t="s">
        <v>73</v>
      </c>
      <c r="C121" s="176" t="str">
        <f t="shared" ref="C121:H121" si="45">IFERROR(C122+C125,"nd")</f>
        <v>nd</v>
      </c>
      <c r="D121" s="176" t="str">
        <f t="shared" si="45"/>
        <v>nd</v>
      </c>
      <c r="E121" s="176" t="str">
        <f t="shared" si="45"/>
        <v>nd</v>
      </c>
      <c r="F121" s="176" t="str">
        <f t="shared" si="45"/>
        <v>nd</v>
      </c>
      <c r="G121" s="176" t="str">
        <f t="shared" si="45"/>
        <v>nd</v>
      </c>
      <c r="H121" s="176" t="str">
        <f t="shared" si="45"/>
        <v>nd</v>
      </c>
      <c r="I121" s="177" t="str">
        <f>IFERROR(H121/G121-1,"-")</f>
        <v>-</v>
      </c>
      <c r="J121" s="176" t="str">
        <f>IFERROR(H121-G121,"-")</f>
        <v>-</v>
      </c>
      <c r="K121" s="177" t="str">
        <f>IFERROR(H121/H$9,"-")</f>
        <v>-</v>
      </c>
    </row>
    <row r="122" spans="2:11" x14ac:dyDescent="0.25">
      <c r="B122" s="159" t="s">
        <v>102</v>
      </c>
      <c r="C122" s="160" t="s">
        <v>323</v>
      </c>
      <c r="D122" s="160" t="s">
        <v>323</v>
      </c>
      <c r="E122" s="160" t="s">
        <v>323</v>
      </c>
      <c r="F122" s="160" t="s">
        <v>323</v>
      </c>
      <c r="G122" s="160" t="s">
        <v>323</v>
      </c>
      <c r="H122" s="160" t="s">
        <v>323</v>
      </c>
      <c r="I122" s="178" t="str">
        <f>IFERROR(H122/G122-1,"-")</f>
        <v>-</v>
      </c>
      <c r="J122" s="181" t="str">
        <f t="shared" ref="J122:J133" si="46">IFERROR(H122-G122,"-")</f>
        <v>-</v>
      </c>
      <c r="K122" s="161" t="str">
        <f t="shared" ref="K122:K133" si="47">IFERROR(H122/H$9,"-")</f>
        <v>-</v>
      </c>
    </row>
    <row r="123" spans="2:11" x14ac:dyDescent="0.25">
      <c r="B123" s="163" t="s">
        <v>108</v>
      </c>
      <c r="C123" s="164" t="s">
        <v>323</v>
      </c>
      <c r="D123" s="164" t="s">
        <v>323</v>
      </c>
      <c r="E123" s="164" t="s">
        <v>323</v>
      </c>
      <c r="F123" s="164" t="s">
        <v>323</v>
      </c>
      <c r="G123" s="164" t="s">
        <v>323</v>
      </c>
      <c r="H123" s="164" t="s">
        <v>323</v>
      </c>
      <c r="I123" s="179" t="str">
        <f>IFERROR(H123/G123-1,"-")</f>
        <v>-</v>
      </c>
      <c r="J123" s="182" t="str">
        <f t="shared" si="46"/>
        <v>-</v>
      </c>
      <c r="K123" s="165" t="str">
        <f t="shared" si="47"/>
        <v>-</v>
      </c>
    </row>
    <row r="124" spans="2:11" x14ac:dyDescent="0.25">
      <c r="B124" s="163" t="s">
        <v>105</v>
      </c>
      <c r="C124" s="164" t="s">
        <v>323</v>
      </c>
      <c r="D124" s="164" t="s">
        <v>323</v>
      </c>
      <c r="E124" s="164" t="s">
        <v>323</v>
      </c>
      <c r="F124" s="164" t="s">
        <v>323</v>
      </c>
      <c r="G124" s="164" t="s">
        <v>323</v>
      </c>
      <c r="H124" s="164" t="s">
        <v>323</v>
      </c>
      <c r="I124" s="179" t="str">
        <f>IFERROR(H124/G124-1,"-")</f>
        <v>-</v>
      </c>
      <c r="J124" s="182" t="str">
        <f t="shared" si="46"/>
        <v>-</v>
      </c>
      <c r="K124" s="165" t="str">
        <f t="shared" si="47"/>
        <v>-</v>
      </c>
    </row>
    <row r="125" spans="2:11" x14ac:dyDescent="0.25">
      <c r="B125" s="159" t="s">
        <v>112</v>
      </c>
      <c r="C125" s="160" t="s">
        <v>323</v>
      </c>
      <c r="D125" s="160" t="s">
        <v>323</v>
      </c>
      <c r="E125" s="160" t="s">
        <v>323</v>
      </c>
      <c r="F125" s="160" t="s">
        <v>323</v>
      </c>
      <c r="G125" s="160" t="s">
        <v>323</v>
      </c>
      <c r="H125" s="160" t="s">
        <v>323</v>
      </c>
      <c r="I125" s="178" t="str">
        <f>IFERROR(H125/G125-1,"-")</f>
        <v>-</v>
      </c>
      <c r="J125" s="181" t="str">
        <f t="shared" si="46"/>
        <v>-</v>
      </c>
      <c r="K125" s="161" t="str">
        <f t="shared" si="47"/>
        <v>-</v>
      </c>
    </row>
    <row r="126" spans="2:11" x14ac:dyDescent="0.25">
      <c r="B126" s="163" t="s">
        <v>115</v>
      </c>
      <c r="C126" s="164" t="s">
        <v>323</v>
      </c>
      <c r="D126" s="164" t="s">
        <v>323</v>
      </c>
      <c r="E126" s="164" t="s">
        <v>323</v>
      </c>
      <c r="F126" s="164" t="s">
        <v>323</v>
      </c>
      <c r="G126" s="164" t="s">
        <v>323</v>
      </c>
      <c r="H126" s="164" t="s">
        <v>323</v>
      </c>
      <c r="I126" s="179" t="str">
        <f t="shared" ref="I126:I133" si="48">IFERROR(H126/G126-1,"-")</f>
        <v>-</v>
      </c>
      <c r="J126" s="182" t="str">
        <f t="shared" si="46"/>
        <v>-</v>
      </c>
      <c r="K126" s="165" t="str">
        <f t="shared" si="47"/>
        <v>-</v>
      </c>
    </row>
    <row r="127" spans="2:11" x14ac:dyDescent="0.25">
      <c r="B127" s="163" t="s">
        <v>118</v>
      </c>
      <c r="C127" s="164" t="s">
        <v>323</v>
      </c>
      <c r="D127" s="164" t="s">
        <v>323</v>
      </c>
      <c r="E127" s="164" t="s">
        <v>323</v>
      </c>
      <c r="F127" s="164" t="s">
        <v>323</v>
      </c>
      <c r="G127" s="164" t="s">
        <v>323</v>
      </c>
      <c r="H127" s="164" t="s">
        <v>323</v>
      </c>
      <c r="I127" s="179" t="str">
        <f t="shared" si="48"/>
        <v>-</v>
      </c>
      <c r="J127" s="182" t="str">
        <f t="shared" si="46"/>
        <v>-</v>
      </c>
      <c r="K127" s="165" t="str">
        <f t="shared" si="47"/>
        <v>-</v>
      </c>
    </row>
    <row r="128" spans="2:11" x14ac:dyDescent="0.25">
      <c r="B128" s="163" t="s">
        <v>121</v>
      </c>
      <c r="C128" s="164" t="s">
        <v>323</v>
      </c>
      <c r="D128" s="164" t="s">
        <v>323</v>
      </c>
      <c r="E128" s="164" t="s">
        <v>323</v>
      </c>
      <c r="F128" s="164" t="s">
        <v>323</v>
      </c>
      <c r="G128" s="164" t="s">
        <v>323</v>
      </c>
      <c r="H128" s="164" t="s">
        <v>323</v>
      </c>
      <c r="I128" s="179" t="str">
        <f t="shared" si="48"/>
        <v>-</v>
      </c>
      <c r="J128" s="182" t="str">
        <f t="shared" si="46"/>
        <v>-</v>
      </c>
      <c r="K128" s="165" t="str">
        <f t="shared" si="47"/>
        <v>-</v>
      </c>
    </row>
    <row r="129" spans="2:11" x14ac:dyDescent="0.25">
      <c r="B129" s="163" t="s">
        <v>128</v>
      </c>
      <c r="C129" s="164" t="s">
        <v>323</v>
      </c>
      <c r="D129" s="164" t="s">
        <v>323</v>
      </c>
      <c r="E129" s="164" t="s">
        <v>323</v>
      </c>
      <c r="F129" s="164" t="s">
        <v>323</v>
      </c>
      <c r="G129" s="164" t="s">
        <v>323</v>
      </c>
      <c r="H129" s="164" t="s">
        <v>323</v>
      </c>
      <c r="I129" s="179" t="str">
        <f t="shared" si="48"/>
        <v>-</v>
      </c>
      <c r="J129" s="182" t="str">
        <f t="shared" si="46"/>
        <v>-</v>
      </c>
      <c r="K129" s="165" t="str">
        <f t="shared" si="47"/>
        <v>-</v>
      </c>
    </row>
    <row r="130" spans="2:11" x14ac:dyDescent="0.25">
      <c r="B130" s="163" t="s">
        <v>124</v>
      </c>
      <c r="C130" s="164" t="s">
        <v>323</v>
      </c>
      <c r="D130" s="164" t="s">
        <v>323</v>
      </c>
      <c r="E130" s="164" t="s">
        <v>323</v>
      </c>
      <c r="F130" s="164" t="s">
        <v>323</v>
      </c>
      <c r="G130" s="164" t="s">
        <v>323</v>
      </c>
      <c r="H130" s="164" t="s">
        <v>323</v>
      </c>
      <c r="I130" s="179" t="str">
        <f t="shared" si="48"/>
        <v>-</v>
      </c>
      <c r="J130" s="182" t="str">
        <f t="shared" si="46"/>
        <v>-</v>
      </c>
      <c r="K130" s="165" t="str">
        <f t="shared" si="47"/>
        <v>-</v>
      </c>
    </row>
    <row r="131" spans="2:11" x14ac:dyDescent="0.25">
      <c r="B131" s="163" t="s">
        <v>133</v>
      </c>
      <c r="C131" s="164" t="s">
        <v>323</v>
      </c>
      <c r="D131" s="164" t="s">
        <v>323</v>
      </c>
      <c r="E131" s="164" t="s">
        <v>323</v>
      </c>
      <c r="F131" s="164" t="s">
        <v>323</v>
      </c>
      <c r="G131" s="164" t="s">
        <v>323</v>
      </c>
      <c r="H131" s="164" t="s">
        <v>323</v>
      </c>
      <c r="I131" s="179" t="str">
        <f t="shared" si="48"/>
        <v>-</v>
      </c>
      <c r="J131" s="182" t="str">
        <f t="shared" si="46"/>
        <v>-</v>
      </c>
      <c r="K131" s="165" t="str">
        <f t="shared" si="47"/>
        <v>-</v>
      </c>
    </row>
    <row r="132" spans="2:11" x14ac:dyDescent="0.25">
      <c r="B132" s="163" t="s">
        <v>136</v>
      </c>
      <c r="C132" s="164" t="s">
        <v>323</v>
      </c>
      <c r="D132" s="164" t="s">
        <v>323</v>
      </c>
      <c r="E132" s="164" t="s">
        <v>323</v>
      </c>
      <c r="F132" s="164" t="s">
        <v>323</v>
      </c>
      <c r="G132" s="164" t="s">
        <v>323</v>
      </c>
      <c r="H132" s="164" t="s">
        <v>323</v>
      </c>
      <c r="I132" s="179" t="str">
        <f t="shared" si="48"/>
        <v>-</v>
      </c>
      <c r="J132" s="182" t="str">
        <f t="shared" si="46"/>
        <v>-</v>
      </c>
      <c r="K132" s="165" t="str">
        <f t="shared" si="47"/>
        <v>-</v>
      </c>
    </row>
    <row r="133" spans="2:11" x14ac:dyDescent="0.25">
      <c r="B133" s="168" t="s">
        <v>150</v>
      </c>
      <c r="C133" s="169" t="str">
        <f t="shared" ref="C133:H133" si="49">IFERROR(C125-SUM(C126:C132),"nd")</f>
        <v>nd</v>
      </c>
      <c r="D133" s="169" t="str">
        <f t="shared" si="49"/>
        <v>nd</v>
      </c>
      <c r="E133" s="169" t="str">
        <f t="shared" si="49"/>
        <v>nd</v>
      </c>
      <c r="F133" s="169" t="str">
        <f t="shared" si="49"/>
        <v>nd</v>
      </c>
      <c r="G133" s="169" t="str">
        <f t="shared" si="49"/>
        <v>nd</v>
      </c>
      <c r="H133" s="169" t="str">
        <f t="shared" si="49"/>
        <v>nd</v>
      </c>
      <c r="I133" s="180" t="str">
        <f t="shared" si="48"/>
        <v>-</v>
      </c>
      <c r="J133" s="183" t="str">
        <f t="shared" si="46"/>
        <v>-</v>
      </c>
      <c r="K133" s="170" t="str">
        <f t="shared" si="47"/>
        <v>-</v>
      </c>
    </row>
    <row r="134" spans="2:11" x14ac:dyDescent="0.25">
      <c r="B134" s="155" t="s">
        <v>54</v>
      </c>
      <c r="C134" s="153"/>
      <c r="D134" s="153"/>
      <c r="E134" s="153"/>
      <c r="F134" s="153"/>
      <c r="G134" s="153"/>
      <c r="H134" s="153"/>
      <c r="I134" s="154"/>
      <c r="J134" s="154"/>
      <c r="K134" s="153"/>
    </row>
    <row r="135" spans="2:11" x14ac:dyDescent="0.25">
      <c r="B135" s="156" t="s">
        <v>73</v>
      </c>
      <c r="C135" s="176">
        <f t="shared" ref="C135:H135" si="50">IFERROR(C136+C139,"nd")</f>
        <v>8196</v>
      </c>
      <c r="D135" s="176">
        <f t="shared" si="50"/>
        <v>25747</v>
      </c>
      <c r="E135" s="176">
        <f t="shared" si="50"/>
        <v>27187</v>
      </c>
      <c r="F135" s="176">
        <f t="shared" si="50"/>
        <v>28802</v>
      </c>
      <c r="G135" s="176">
        <f t="shared" si="50"/>
        <v>30661</v>
      </c>
      <c r="H135" s="176">
        <f t="shared" si="50"/>
        <v>30060</v>
      </c>
      <c r="I135" s="177">
        <f>IFERROR(H135/G135-1,"-")</f>
        <v>-1.9601448093669482E-2</v>
      </c>
      <c r="J135" s="176">
        <f>IFERROR(H135-G135,"-")</f>
        <v>-601</v>
      </c>
      <c r="K135" s="177">
        <f>IFERROR(H135/H$9,"-")</f>
        <v>4.2644104729154607E-2</v>
      </c>
    </row>
    <row r="136" spans="2:11" x14ac:dyDescent="0.25">
      <c r="B136" s="159" t="s">
        <v>102</v>
      </c>
      <c r="C136" s="160">
        <v>4201</v>
      </c>
      <c r="D136" s="160">
        <v>4344</v>
      </c>
      <c r="E136" s="160">
        <v>5028</v>
      </c>
      <c r="F136" s="160">
        <v>4139</v>
      </c>
      <c r="G136" s="160">
        <v>4480</v>
      </c>
      <c r="H136" s="160">
        <v>6139</v>
      </c>
      <c r="I136" s="178">
        <f>IFERROR(H136/G136-1,"-")</f>
        <v>0.37031250000000004</v>
      </c>
      <c r="J136" s="181">
        <f t="shared" ref="J136:J147" si="51">IFERROR(H136-G136,"-")</f>
        <v>1659</v>
      </c>
      <c r="K136" s="161">
        <f t="shared" ref="K136:K147" si="52">IFERROR(H136/H$9,"-")</f>
        <v>8.708987323096478E-3</v>
      </c>
    </row>
    <row r="137" spans="2:11" x14ac:dyDescent="0.25">
      <c r="B137" s="163" t="s">
        <v>108</v>
      </c>
      <c r="C137" s="164">
        <v>2763</v>
      </c>
      <c r="D137" s="164">
        <v>3031</v>
      </c>
      <c r="E137" s="164">
        <v>3466</v>
      </c>
      <c r="F137" s="164">
        <v>2932</v>
      </c>
      <c r="G137" s="164">
        <v>2829</v>
      </c>
      <c r="H137" s="164">
        <v>3536</v>
      </c>
      <c r="I137" s="179">
        <f>IFERROR(H137/G137-1,"-")</f>
        <v>0.24991162955107815</v>
      </c>
      <c r="J137" s="182">
        <f t="shared" si="51"/>
        <v>707</v>
      </c>
      <c r="K137" s="165">
        <f t="shared" si="52"/>
        <v>5.0162859055984926E-3</v>
      </c>
    </row>
    <row r="138" spans="2:11" x14ac:dyDescent="0.25">
      <c r="B138" s="163" t="s">
        <v>105</v>
      </c>
      <c r="C138" s="164">
        <v>1438</v>
      </c>
      <c r="D138" s="164">
        <v>1313</v>
      </c>
      <c r="E138" s="164">
        <v>1562</v>
      </c>
      <c r="F138" s="164">
        <v>1207</v>
      </c>
      <c r="G138" s="164">
        <v>1651</v>
      </c>
      <c r="H138" s="164">
        <v>2603</v>
      </c>
      <c r="I138" s="179">
        <f>IFERROR(H138/G138-1,"-")</f>
        <v>0.57662023016353725</v>
      </c>
      <c r="J138" s="182">
        <f t="shared" si="51"/>
        <v>952</v>
      </c>
      <c r="K138" s="165">
        <f t="shared" si="52"/>
        <v>3.6927014174979855E-3</v>
      </c>
    </row>
    <row r="139" spans="2:11" x14ac:dyDescent="0.25">
      <c r="B139" s="159" t="s">
        <v>112</v>
      </c>
      <c r="C139" s="160">
        <v>3995</v>
      </c>
      <c r="D139" s="160">
        <v>21403</v>
      </c>
      <c r="E139" s="160">
        <v>22159</v>
      </c>
      <c r="F139" s="160">
        <v>24663</v>
      </c>
      <c r="G139" s="160">
        <v>26181</v>
      </c>
      <c r="H139" s="160">
        <v>23921</v>
      </c>
      <c r="I139" s="178">
        <f>IFERROR(H139/G139-1,"-")</f>
        <v>-8.632214201138233E-2</v>
      </c>
      <c r="J139" s="181">
        <f t="shared" si="51"/>
        <v>-2260</v>
      </c>
      <c r="K139" s="161">
        <f t="shared" si="52"/>
        <v>3.3935117406058132E-2</v>
      </c>
    </row>
    <row r="140" spans="2:11" x14ac:dyDescent="0.25">
      <c r="B140" s="163" t="s">
        <v>115</v>
      </c>
      <c r="C140" s="164">
        <v>264</v>
      </c>
      <c r="D140" s="164">
        <v>7784</v>
      </c>
      <c r="E140" s="164">
        <v>8638</v>
      </c>
      <c r="F140" s="164">
        <v>10525</v>
      </c>
      <c r="G140" s="164">
        <v>11641</v>
      </c>
      <c r="H140" s="164">
        <v>10183</v>
      </c>
      <c r="I140" s="179">
        <f t="shared" ref="I140:I147" si="53">IFERROR(H140/G140-1,"-")</f>
        <v>-0.12524697190962975</v>
      </c>
      <c r="J140" s="182">
        <f t="shared" si="51"/>
        <v>-1458</v>
      </c>
      <c r="K140" s="165">
        <f t="shared" si="52"/>
        <v>1.4445938737757198E-2</v>
      </c>
    </row>
    <row r="141" spans="2:11" x14ac:dyDescent="0.25">
      <c r="B141" s="163" t="s">
        <v>118</v>
      </c>
      <c r="C141" s="164">
        <v>350</v>
      </c>
      <c r="D141" s="164">
        <v>1817</v>
      </c>
      <c r="E141" s="164">
        <v>1432</v>
      </c>
      <c r="F141" s="164">
        <v>1629</v>
      </c>
      <c r="G141" s="164">
        <v>1605</v>
      </c>
      <c r="H141" s="164">
        <v>1489</v>
      </c>
      <c r="I141" s="179">
        <f t="shared" si="53"/>
        <v>-7.2274143302180738E-2</v>
      </c>
      <c r="J141" s="182">
        <f t="shared" si="51"/>
        <v>-116</v>
      </c>
      <c r="K141" s="165">
        <f t="shared" si="52"/>
        <v>2.1123443759717636E-3</v>
      </c>
    </row>
    <row r="142" spans="2:11" x14ac:dyDescent="0.25">
      <c r="B142" s="163" t="s">
        <v>121</v>
      </c>
      <c r="C142" s="164">
        <v>950</v>
      </c>
      <c r="D142" s="164">
        <v>2321</v>
      </c>
      <c r="E142" s="164">
        <v>2327</v>
      </c>
      <c r="F142" s="164">
        <v>2257</v>
      </c>
      <c r="G142" s="164">
        <v>2538</v>
      </c>
      <c r="H142" s="164">
        <v>2156</v>
      </c>
      <c r="I142" s="179">
        <f t="shared" si="53"/>
        <v>-0.15051221434200157</v>
      </c>
      <c r="J142" s="182">
        <f t="shared" si="51"/>
        <v>-382</v>
      </c>
      <c r="K142" s="165">
        <f t="shared" si="52"/>
        <v>3.0585725148389001E-3</v>
      </c>
    </row>
    <row r="143" spans="2:11" x14ac:dyDescent="0.25">
      <c r="B143" s="163" t="s">
        <v>128</v>
      </c>
      <c r="C143" s="164">
        <v>104</v>
      </c>
      <c r="D143" s="164">
        <v>1111</v>
      </c>
      <c r="E143" s="164">
        <v>847</v>
      </c>
      <c r="F143" s="164">
        <v>722</v>
      </c>
      <c r="G143" s="164">
        <v>835</v>
      </c>
      <c r="H143" s="164">
        <v>650</v>
      </c>
      <c r="I143" s="179">
        <f t="shared" si="53"/>
        <v>-0.22155688622754488</v>
      </c>
      <c r="J143" s="182">
        <f t="shared" si="51"/>
        <v>-185</v>
      </c>
      <c r="K143" s="165">
        <f t="shared" si="52"/>
        <v>9.2211137970560526E-4</v>
      </c>
    </row>
    <row r="144" spans="2:11" x14ac:dyDescent="0.25">
      <c r="B144" s="163" t="s">
        <v>124</v>
      </c>
      <c r="C144" s="164">
        <v>71</v>
      </c>
      <c r="D144" s="164">
        <v>557</v>
      </c>
      <c r="E144" s="164">
        <v>406</v>
      </c>
      <c r="F144" s="164">
        <v>471</v>
      </c>
      <c r="G144" s="164">
        <v>494</v>
      </c>
      <c r="H144" s="164">
        <v>450</v>
      </c>
      <c r="I144" s="179">
        <f t="shared" si="53"/>
        <v>-8.9068825910931126E-2</v>
      </c>
      <c r="J144" s="182">
        <f t="shared" si="51"/>
        <v>-44</v>
      </c>
      <c r="K144" s="165">
        <f t="shared" si="52"/>
        <v>6.3838480133464987E-4</v>
      </c>
    </row>
    <row r="145" spans="2:11" x14ac:dyDescent="0.25">
      <c r="B145" s="163" t="s">
        <v>133</v>
      </c>
      <c r="C145" s="164">
        <v>30</v>
      </c>
      <c r="D145" s="164">
        <v>230</v>
      </c>
      <c r="E145" s="164">
        <v>294</v>
      </c>
      <c r="F145" s="164">
        <v>188</v>
      </c>
      <c r="G145" s="164">
        <v>283</v>
      </c>
      <c r="H145" s="164">
        <v>342</v>
      </c>
      <c r="I145" s="179">
        <f t="shared" si="53"/>
        <v>0.20848056537102466</v>
      </c>
      <c r="J145" s="182">
        <f t="shared" si="51"/>
        <v>59</v>
      </c>
      <c r="K145" s="165">
        <f t="shared" si="52"/>
        <v>4.8517244901433388E-4</v>
      </c>
    </row>
    <row r="146" spans="2:11" x14ac:dyDescent="0.25">
      <c r="B146" s="163" t="s">
        <v>136</v>
      </c>
      <c r="C146" s="164">
        <v>10</v>
      </c>
      <c r="D146" s="164">
        <v>182</v>
      </c>
      <c r="E146" s="164">
        <v>293</v>
      </c>
      <c r="F146" s="164">
        <v>322</v>
      </c>
      <c r="G146" s="164">
        <v>295</v>
      </c>
      <c r="H146" s="164">
        <v>337</v>
      </c>
      <c r="I146" s="179">
        <f t="shared" si="53"/>
        <v>0.14237288135593218</v>
      </c>
      <c r="J146" s="182">
        <f t="shared" si="51"/>
        <v>42</v>
      </c>
      <c r="K146" s="165">
        <f t="shared" si="52"/>
        <v>4.7807928455505998E-4</v>
      </c>
    </row>
    <row r="147" spans="2:11" x14ac:dyDescent="0.25">
      <c r="B147" s="168" t="s">
        <v>150</v>
      </c>
      <c r="C147" s="169">
        <f t="shared" ref="C147:H147" si="54">IFERROR(C139-SUM(C140:C146),"nd")</f>
        <v>2216</v>
      </c>
      <c r="D147" s="169">
        <f t="shared" si="54"/>
        <v>7401</v>
      </c>
      <c r="E147" s="169">
        <f t="shared" si="54"/>
        <v>7922</v>
      </c>
      <c r="F147" s="169">
        <f t="shared" si="54"/>
        <v>8549</v>
      </c>
      <c r="G147" s="169">
        <f t="shared" si="54"/>
        <v>8490</v>
      </c>
      <c r="H147" s="169">
        <f t="shared" si="54"/>
        <v>8314</v>
      </c>
      <c r="I147" s="180">
        <f t="shared" si="53"/>
        <v>-2.0730270906949344E-2</v>
      </c>
      <c r="J147" s="183">
        <f t="shared" si="51"/>
        <v>-176</v>
      </c>
      <c r="K147" s="170">
        <f t="shared" si="52"/>
        <v>1.1794513862880619E-2</v>
      </c>
    </row>
    <row r="148" spans="2:11" x14ac:dyDescent="0.25">
      <c r="B148" s="155" t="s">
        <v>55</v>
      </c>
      <c r="C148" s="153"/>
      <c r="D148" s="153"/>
      <c r="E148" s="153"/>
      <c r="F148" s="153"/>
      <c r="G148" s="153"/>
      <c r="H148" s="153"/>
      <c r="I148" s="154"/>
      <c r="J148" s="154"/>
      <c r="K148" s="153"/>
    </row>
    <row r="149" spans="2:11" x14ac:dyDescent="0.25">
      <c r="B149" s="156" t="s">
        <v>73</v>
      </c>
      <c r="C149" s="176">
        <f t="shared" ref="C149:H149" si="55">IFERROR(C150+C153,"nd")</f>
        <v>687</v>
      </c>
      <c r="D149" s="176">
        <f t="shared" si="55"/>
        <v>7811</v>
      </c>
      <c r="E149" s="176">
        <f t="shared" si="55"/>
        <v>10549</v>
      </c>
      <c r="F149" s="176">
        <f t="shared" si="55"/>
        <v>30055</v>
      </c>
      <c r="G149" s="176">
        <f t="shared" si="55"/>
        <v>29171</v>
      </c>
      <c r="H149" s="176">
        <f t="shared" si="55"/>
        <v>26418</v>
      </c>
      <c r="I149" s="177">
        <f>IFERROR(H149/G149-1,"-")</f>
        <v>-9.4374550066847251E-2</v>
      </c>
      <c r="J149" s="176">
        <f>IFERROR(H149-G149,"-")</f>
        <v>-2753</v>
      </c>
      <c r="K149" s="177">
        <f>IFERROR(H149/H$9,"-")</f>
        <v>3.7477443737019507E-2</v>
      </c>
    </row>
    <row r="150" spans="2:11" x14ac:dyDescent="0.25">
      <c r="B150" s="159" t="s">
        <v>102</v>
      </c>
      <c r="C150" s="160">
        <v>269</v>
      </c>
      <c r="D150" s="160">
        <v>1405</v>
      </c>
      <c r="E150" s="160">
        <v>2532</v>
      </c>
      <c r="F150" s="160">
        <v>3448</v>
      </c>
      <c r="G150" s="160">
        <v>3490</v>
      </c>
      <c r="H150" s="160">
        <v>3870</v>
      </c>
      <c r="I150" s="178">
        <f>IFERROR(H150/G150-1,"-")</f>
        <v>0.10888252148997135</v>
      </c>
      <c r="J150" s="181">
        <f t="shared" ref="J150:J161" si="56">IFERROR(H150-G150,"-")</f>
        <v>380</v>
      </c>
      <c r="K150" s="161">
        <f t="shared" ref="K150:K161" si="57">IFERROR(H150/H$9,"-")</f>
        <v>5.4901092914779884E-3</v>
      </c>
    </row>
    <row r="151" spans="2:11" x14ac:dyDescent="0.25">
      <c r="B151" s="163" t="s">
        <v>108</v>
      </c>
      <c r="C151" s="164">
        <v>85</v>
      </c>
      <c r="D151" s="164">
        <v>477</v>
      </c>
      <c r="E151" s="164">
        <v>987</v>
      </c>
      <c r="F151" s="164">
        <v>2229</v>
      </c>
      <c r="G151" s="164">
        <v>1886</v>
      </c>
      <c r="H151" s="164">
        <v>2439</v>
      </c>
      <c r="I151" s="179">
        <f>IFERROR(H151/G151-1,"-")</f>
        <v>0.29321314952279964</v>
      </c>
      <c r="J151" s="182">
        <f t="shared" si="56"/>
        <v>553</v>
      </c>
      <c r="K151" s="165">
        <f t="shared" si="57"/>
        <v>3.4600456232338019E-3</v>
      </c>
    </row>
    <row r="152" spans="2:11" x14ac:dyDescent="0.25">
      <c r="B152" s="163" t="s">
        <v>105</v>
      </c>
      <c r="C152" s="164">
        <v>184</v>
      </c>
      <c r="D152" s="164">
        <v>928</v>
      </c>
      <c r="E152" s="164">
        <v>1545</v>
      </c>
      <c r="F152" s="164">
        <v>1219</v>
      </c>
      <c r="G152" s="164">
        <v>1604</v>
      </c>
      <c r="H152" s="164">
        <v>1431</v>
      </c>
      <c r="I152" s="179">
        <f>IFERROR(H152/G152-1,"-")</f>
        <v>-0.10785536159600995</v>
      </c>
      <c r="J152" s="182">
        <f t="shared" si="56"/>
        <v>-173</v>
      </c>
      <c r="K152" s="165">
        <f t="shared" si="57"/>
        <v>2.0300636682441865E-3</v>
      </c>
    </row>
    <row r="153" spans="2:11" x14ac:dyDescent="0.25">
      <c r="B153" s="159" t="s">
        <v>112</v>
      </c>
      <c r="C153" s="160">
        <v>418</v>
      </c>
      <c r="D153" s="160">
        <v>6406</v>
      </c>
      <c r="E153" s="160">
        <v>8017</v>
      </c>
      <c r="F153" s="160">
        <v>26607</v>
      </c>
      <c r="G153" s="160">
        <v>25681</v>
      </c>
      <c r="H153" s="160">
        <v>22548</v>
      </c>
      <c r="I153" s="178">
        <f>IFERROR(H153/G153-1,"-")</f>
        <v>-0.12199680697792137</v>
      </c>
      <c r="J153" s="181">
        <f t="shared" si="56"/>
        <v>-3133</v>
      </c>
      <c r="K153" s="161">
        <f t="shared" si="57"/>
        <v>3.198733444554152E-2</v>
      </c>
    </row>
    <row r="154" spans="2:11" x14ac:dyDescent="0.25">
      <c r="B154" s="163" t="s">
        <v>115</v>
      </c>
      <c r="C154" s="164">
        <v>8</v>
      </c>
      <c r="D154" s="164">
        <v>2260</v>
      </c>
      <c r="E154" s="164">
        <v>1585</v>
      </c>
      <c r="F154" s="164">
        <v>16370</v>
      </c>
      <c r="G154" s="164">
        <v>16087</v>
      </c>
      <c r="H154" s="164">
        <v>14530</v>
      </c>
      <c r="I154" s="179">
        <f t="shared" ref="I154:I161" si="58">IFERROR(H154/G154-1,"-")</f>
        <v>-9.6786224902094875E-2</v>
      </c>
      <c r="J154" s="182">
        <f t="shared" si="56"/>
        <v>-1557</v>
      </c>
      <c r="K154" s="165">
        <f t="shared" si="57"/>
        <v>2.0612735918649917E-2</v>
      </c>
    </row>
    <row r="155" spans="2:11" x14ac:dyDescent="0.25">
      <c r="B155" s="163" t="s">
        <v>118</v>
      </c>
      <c r="C155" s="164">
        <v>121</v>
      </c>
      <c r="D155" s="164">
        <v>1141</v>
      </c>
      <c r="E155" s="164">
        <v>1794</v>
      </c>
      <c r="F155" s="164">
        <v>2253</v>
      </c>
      <c r="G155" s="164">
        <v>1787</v>
      </c>
      <c r="H155" s="164">
        <v>1651</v>
      </c>
      <c r="I155" s="179">
        <f t="shared" si="58"/>
        <v>-7.6105204252937875E-2</v>
      </c>
      <c r="J155" s="182">
        <f t="shared" si="56"/>
        <v>-136</v>
      </c>
      <c r="K155" s="165">
        <f t="shared" si="57"/>
        <v>2.3421629044522376E-3</v>
      </c>
    </row>
    <row r="156" spans="2:11" x14ac:dyDescent="0.25">
      <c r="B156" s="163" t="s">
        <v>121</v>
      </c>
      <c r="C156" s="164">
        <v>71</v>
      </c>
      <c r="D156" s="164">
        <v>272</v>
      </c>
      <c r="E156" s="164">
        <v>838</v>
      </c>
      <c r="F156" s="164">
        <v>711</v>
      </c>
      <c r="G156" s="164">
        <v>822</v>
      </c>
      <c r="H156" s="164">
        <v>935</v>
      </c>
      <c r="I156" s="179">
        <f t="shared" si="58"/>
        <v>0.13746958637469597</v>
      </c>
      <c r="J156" s="182">
        <f t="shared" si="56"/>
        <v>113</v>
      </c>
      <c r="K156" s="165">
        <f t="shared" si="57"/>
        <v>1.3264217538842169E-3</v>
      </c>
    </row>
    <row r="157" spans="2:11" x14ac:dyDescent="0.25">
      <c r="B157" s="163" t="s">
        <v>128</v>
      </c>
      <c r="C157" s="164">
        <v>10</v>
      </c>
      <c r="D157" s="164">
        <v>834</v>
      </c>
      <c r="E157" s="164">
        <v>544</v>
      </c>
      <c r="F157" s="164">
        <v>1568</v>
      </c>
      <c r="G157" s="164">
        <v>1927</v>
      </c>
      <c r="H157" s="164">
        <v>1788</v>
      </c>
      <c r="I157" s="179">
        <f t="shared" si="58"/>
        <v>-7.213284898806438E-2</v>
      </c>
      <c r="J157" s="182">
        <f t="shared" si="56"/>
        <v>-139</v>
      </c>
      <c r="K157" s="165">
        <f t="shared" si="57"/>
        <v>2.5365156106363419E-3</v>
      </c>
    </row>
    <row r="158" spans="2:11" x14ac:dyDescent="0.25">
      <c r="B158" s="163" t="s">
        <v>124</v>
      </c>
      <c r="C158" s="164">
        <v>24</v>
      </c>
      <c r="D158" s="164">
        <v>208</v>
      </c>
      <c r="E158" s="164">
        <v>426</v>
      </c>
      <c r="F158" s="164">
        <v>391</v>
      </c>
      <c r="G158" s="164">
        <v>85</v>
      </c>
      <c r="H158" s="164">
        <v>115</v>
      </c>
      <c r="I158" s="179">
        <f t="shared" si="58"/>
        <v>0.35294117647058831</v>
      </c>
      <c r="J158" s="182">
        <f t="shared" si="56"/>
        <v>30</v>
      </c>
      <c r="K158" s="165">
        <f t="shared" si="57"/>
        <v>1.6314278256329939E-4</v>
      </c>
    </row>
    <row r="159" spans="2:11" x14ac:dyDescent="0.25">
      <c r="B159" s="163" t="s">
        <v>133</v>
      </c>
      <c r="C159" s="164">
        <v>1</v>
      </c>
      <c r="D159" s="164">
        <v>179</v>
      </c>
      <c r="E159" s="164">
        <v>186</v>
      </c>
      <c r="F159" s="164">
        <v>596</v>
      </c>
      <c r="G159" s="164">
        <v>808</v>
      </c>
      <c r="H159" s="164">
        <v>535</v>
      </c>
      <c r="I159" s="179">
        <f t="shared" si="58"/>
        <v>-0.33787128712871284</v>
      </c>
      <c r="J159" s="182">
        <f t="shared" si="56"/>
        <v>-273</v>
      </c>
      <c r="K159" s="165">
        <f t="shared" si="57"/>
        <v>7.5896859714230593E-4</v>
      </c>
    </row>
    <row r="160" spans="2:11" x14ac:dyDescent="0.25">
      <c r="B160" s="163" t="s">
        <v>136</v>
      </c>
      <c r="C160" s="164">
        <v>0</v>
      </c>
      <c r="D160" s="164">
        <v>145</v>
      </c>
      <c r="E160" s="164">
        <v>59</v>
      </c>
      <c r="F160" s="164">
        <v>1548</v>
      </c>
      <c r="G160" s="164">
        <v>1453</v>
      </c>
      <c r="H160" s="164">
        <v>1156</v>
      </c>
      <c r="I160" s="179">
        <f t="shared" si="58"/>
        <v>-0.2044046799724708</v>
      </c>
      <c r="J160" s="182">
        <f t="shared" si="56"/>
        <v>-297</v>
      </c>
      <c r="K160" s="165">
        <f t="shared" si="57"/>
        <v>1.6399396229841226E-3</v>
      </c>
    </row>
    <row r="161" spans="2:11" x14ac:dyDescent="0.25">
      <c r="B161" s="168" t="s">
        <v>150</v>
      </c>
      <c r="C161" s="169">
        <f t="shared" ref="C161:H161" si="59">IFERROR(C153-SUM(C154:C160),"nd")</f>
        <v>183</v>
      </c>
      <c r="D161" s="169">
        <f t="shared" si="59"/>
        <v>1367</v>
      </c>
      <c r="E161" s="169">
        <f t="shared" si="59"/>
        <v>2585</v>
      </c>
      <c r="F161" s="169">
        <f t="shared" si="59"/>
        <v>3170</v>
      </c>
      <c r="G161" s="169">
        <f t="shared" si="59"/>
        <v>2712</v>
      </c>
      <c r="H161" s="169">
        <f t="shared" si="59"/>
        <v>1838</v>
      </c>
      <c r="I161" s="180">
        <f t="shared" si="58"/>
        <v>-0.32227138643067843</v>
      </c>
      <c r="J161" s="183">
        <f t="shared" si="56"/>
        <v>-874</v>
      </c>
      <c r="K161" s="170">
        <f t="shared" si="57"/>
        <v>2.6074472552290806E-3</v>
      </c>
    </row>
    <row r="162" spans="2:11" x14ac:dyDescent="0.25">
      <c r="C162" s="81"/>
      <c r="D162" s="81"/>
      <c r="E162" s="81"/>
      <c r="F162" s="81"/>
      <c r="G162" s="81"/>
      <c r="H162" s="81"/>
      <c r="I162" s="81"/>
    </row>
    <row r="163" spans="2:11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</row>
  </sheetData>
  <mergeCells count="3">
    <mergeCell ref="B4:I4"/>
    <mergeCell ref="C6:K6"/>
    <mergeCell ref="O6:W6"/>
  </mergeCells>
  <pageMargins left="0.25" right="0.25" top="0.75" bottom="0.75" header="0.3" footer="0.3"/>
  <pageSetup paperSize="9" scale="88" orientation="landscape" r:id="rId1"/>
  <headerFooter>
    <oddFooter>&amp;R_x000D_&amp;1#&amp;"Aptos"&amp;8&amp;K000000 Documento interno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7DF75-5837-4D44-95F1-532B6861A926}">
  <sheetPr>
    <tabColor theme="7" tint="0.79998168889431442"/>
    <pageSetUpPr fitToPage="1"/>
  </sheetPr>
  <dimension ref="A1:Y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6" width="11.7109375" customWidth="1"/>
    <col min="7" max="8" width="11" customWidth="1"/>
    <col min="9" max="10" width="10.5703125" customWidth="1"/>
    <col min="11" max="14" width="11.7109375" customWidth="1"/>
    <col min="15" max="16" width="11" customWidth="1"/>
    <col min="17" max="18" width="10.5703125" customWidth="1"/>
    <col min="19" max="21" width="11.7109375" customWidth="1"/>
    <col min="22" max="23" width="11" customWidth="1"/>
    <col min="24" max="25" width="10.5703125" customWidth="1"/>
  </cols>
  <sheetData>
    <row r="1" spans="1:25" ht="42.75" customHeight="1" x14ac:dyDescent="0.25"/>
    <row r="3" spans="1:25" ht="42" customHeight="1" thickBot="1" x14ac:dyDescent="0.3">
      <c r="B3" s="143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  <c r="O3" s="144"/>
      <c r="P3" s="144"/>
      <c r="Q3" s="144"/>
      <c r="R3" s="144"/>
      <c r="S3" s="144"/>
      <c r="T3" s="144"/>
      <c r="U3" s="144"/>
      <c r="V3" s="144"/>
      <c r="W3" s="144"/>
      <c r="X3" s="144"/>
      <c r="Y3" s="144"/>
    </row>
    <row r="4" spans="1:25" ht="6" customHeight="1" x14ac:dyDescent="0.25"/>
    <row r="5" spans="1:25" ht="15.75" x14ac:dyDescent="0.25">
      <c r="B5" s="184"/>
      <c r="C5" s="307" t="s">
        <v>144</v>
      </c>
      <c r="D5" s="308"/>
      <c r="E5" s="308"/>
      <c r="F5" s="308"/>
      <c r="G5" s="308"/>
      <c r="H5" s="308"/>
      <c r="I5" s="308"/>
      <c r="J5" s="308"/>
      <c r="K5" s="307" t="s">
        <v>63</v>
      </c>
      <c r="L5" s="308"/>
      <c r="M5" s="308"/>
      <c r="N5" s="308"/>
      <c r="O5" s="308"/>
      <c r="P5" s="308"/>
      <c r="Q5" s="308"/>
      <c r="R5" s="308"/>
      <c r="S5" s="307" t="s">
        <v>142</v>
      </c>
      <c r="T5" s="308"/>
      <c r="U5" s="308"/>
      <c r="V5" s="308"/>
      <c r="W5" s="308"/>
      <c r="X5" s="308"/>
      <c r="Y5" s="308"/>
    </row>
    <row r="6" spans="1:25" s="146" customFormat="1" ht="72" customHeight="1" x14ac:dyDescent="0.25">
      <c r="B6" s="147"/>
      <c r="C6" s="172" t="s">
        <v>270</v>
      </c>
      <c r="D6" s="172" t="s">
        <v>271</v>
      </c>
      <c r="E6" s="172" t="s">
        <v>272</v>
      </c>
      <c r="F6" s="172" t="s">
        <v>273</v>
      </c>
      <c r="G6" s="172" t="s">
        <v>274</v>
      </c>
      <c r="H6" s="172" t="s">
        <v>275</v>
      </c>
      <c r="I6" s="173" t="str">
        <f>CONCATENATE("var. ",RIGHT(H6,2),"/",RIGHT(G6,2))</f>
        <v>var. 26/25</v>
      </c>
      <c r="J6" s="173" t="str">
        <f>CONCATENATE("Cuota s/ total lugares de residencia ",RIGHT(H6,4))</f>
        <v>Cuota s/ total lugares de residencia 2026</v>
      </c>
      <c r="K6" s="172" t="s">
        <v>270</v>
      </c>
      <c r="L6" s="172" t="s">
        <v>271</v>
      </c>
      <c r="M6" s="172" t="s">
        <v>272</v>
      </c>
      <c r="N6" s="172" t="s">
        <v>273</v>
      </c>
      <c r="O6" s="172" t="s">
        <v>274</v>
      </c>
      <c r="P6" s="172" t="s">
        <v>275</v>
      </c>
      <c r="Q6" s="173" t="str">
        <f>CONCATENATE("var. ",RIGHT(P6,2),"/",RIGHT(O6,2))</f>
        <v>var. 26/25</v>
      </c>
      <c r="R6" s="173" t="str">
        <f>CONCATENATE("Cuota s/ total lugares de residencia ",RIGHT(P6,4))</f>
        <v>Cuota s/ total lugares de residencia 2026</v>
      </c>
      <c r="S6" s="172" t="s">
        <v>270</v>
      </c>
      <c r="T6" s="172" t="s">
        <v>272</v>
      </c>
      <c r="U6" s="172" t="s">
        <v>273</v>
      </c>
      <c r="V6" s="172" t="s">
        <v>274</v>
      </c>
      <c r="W6" s="172" t="s">
        <v>275</v>
      </c>
      <c r="X6" s="173" t="str">
        <f>CONCATENATE("var. ",RIGHT(W6,2),"/",RIGHT(V6,2))</f>
        <v>var. 26/25</v>
      </c>
      <c r="Y6" s="173" t="str">
        <f>CONCATENATE("Cuota s/ total lugares de residencia ",RIGHT(W6,4))</f>
        <v>Cuota s/ total lugares de residencia 2026</v>
      </c>
    </row>
    <row r="7" spans="1:25" x14ac:dyDescent="0.25">
      <c r="A7" s="1"/>
      <c r="B7" s="152" t="s">
        <v>45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3"/>
      <c r="S7" s="153"/>
      <c r="T7" s="153"/>
      <c r="U7" s="153"/>
      <c r="V7" s="153"/>
      <c r="W7" s="153"/>
      <c r="X7" s="153"/>
      <c r="Y7" s="153"/>
    </row>
    <row r="8" spans="1:25" x14ac:dyDescent="0.25">
      <c r="A8" s="1"/>
      <c r="B8" s="156" t="s">
        <v>73</v>
      </c>
      <c r="C8" s="176">
        <f t="shared" ref="C8:H8" si="0">C9+C12</f>
        <v>107769</v>
      </c>
      <c r="D8" s="176">
        <f t="shared" si="0"/>
        <v>373231</v>
      </c>
      <c r="E8" s="176">
        <f t="shared" si="0"/>
        <v>435144</v>
      </c>
      <c r="F8" s="176">
        <f t="shared" si="0"/>
        <v>441446</v>
      </c>
      <c r="G8" s="176">
        <f t="shared" si="0"/>
        <v>438811</v>
      </c>
      <c r="H8" s="176">
        <f t="shared" si="0"/>
        <v>437605</v>
      </c>
      <c r="I8" s="177">
        <f>IFERROR(H8/G8-1,"-")</f>
        <v>-2.7483358439054362E-3</v>
      </c>
      <c r="J8" s="177">
        <f t="shared" ref="J8:J20" si="1">H8/H$8</f>
        <v>1</v>
      </c>
      <c r="K8" s="176">
        <f t="shared" ref="K8:P8" si="2">K9+K12</f>
        <v>470647</v>
      </c>
      <c r="L8" s="176">
        <f t="shared" si="2"/>
        <v>1737868</v>
      </c>
      <c r="M8" s="176">
        <f t="shared" si="2"/>
        <v>1916365</v>
      </c>
      <c r="N8" s="176">
        <f t="shared" si="2"/>
        <v>2034536</v>
      </c>
      <c r="O8" s="176">
        <f t="shared" si="2"/>
        <v>1991559</v>
      </c>
      <c r="P8" s="176">
        <f t="shared" si="2"/>
        <v>2001279</v>
      </c>
      <c r="Q8" s="177">
        <f>IFERROR(P8/O8-1,"-")</f>
        <v>4.8805985662487839E-3</v>
      </c>
      <c r="R8" s="177">
        <f t="shared" ref="R8:R20" si="3">P8/P$8</f>
        <v>1</v>
      </c>
      <c r="S8" s="176">
        <f>S9+S12</f>
        <v>578416</v>
      </c>
      <c r="T8" s="176">
        <f>T9+T12</f>
        <v>2351509</v>
      </c>
      <c r="U8" s="176">
        <f>U9+U12</f>
        <v>2475982</v>
      </c>
      <c r="V8" s="176">
        <f>V9+V12</f>
        <v>2430370</v>
      </c>
      <c r="W8" s="176">
        <f>W9+W12</f>
        <v>2438884</v>
      </c>
      <c r="X8" s="177">
        <f>IFERROR(W8/V8-1,"-")</f>
        <v>3.5031702991725755E-3</v>
      </c>
      <c r="Y8" s="177">
        <f>W8/W$8</f>
        <v>1</v>
      </c>
    </row>
    <row r="9" spans="1:25" x14ac:dyDescent="0.25">
      <c r="A9" s="1"/>
      <c r="B9" s="159" t="s">
        <v>102</v>
      </c>
      <c r="C9" s="160">
        <v>56472</v>
      </c>
      <c r="D9" s="160">
        <v>99146</v>
      </c>
      <c r="E9" s="160">
        <v>127078</v>
      </c>
      <c r="F9" s="160">
        <v>127287</v>
      </c>
      <c r="G9" s="160">
        <v>117279</v>
      </c>
      <c r="H9" s="160">
        <v>126372</v>
      </c>
      <c r="I9" s="161">
        <f>IFERROR(H9/G9-1,"-")</f>
        <v>7.7533062185045853E-2</v>
      </c>
      <c r="J9" s="161">
        <f t="shared" si="1"/>
        <v>0.28878097827949861</v>
      </c>
      <c r="K9" s="160">
        <v>253579</v>
      </c>
      <c r="L9" s="160">
        <v>394336</v>
      </c>
      <c r="M9" s="160">
        <v>393111</v>
      </c>
      <c r="N9" s="160">
        <v>378845</v>
      </c>
      <c r="O9" s="160">
        <v>386639</v>
      </c>
      <c r="P9" s="160">
        <v>391458</v>
      </c>
      <c r="Q9" s="161">
        <f>IFERROR(P9/O9-1,"-")</f>
        <v>1.2463822842496475E-2</v>
      </c>
      <c r="R9" s="161">
        <f t="shared" si="3"/>
        <v>0.19560391129872445</v>
      </c>
      <c r="S9" s="160">
        <v>310051</v>
      </c>
      <c r="T9" s="160">
        <v>520189</v>
      </c>
      <c r="U9" s="160">
        <v>506132</v>
      </c>
      <c r="V9" s="160">
        <v>503918</v>
      </c>
      <c r="W9" s="160">
        <v>517830</v>
      </c>
      <c r="X9" s="161">
        <f>IFERROR(W9/V9-1,"-")</f>
        <v>2.7607666326664226E-2</v>
      </c>
      <c r="Y9" s="161">
        <f>W9/W$8</f>
        <v>0.21232252128432513</v>
      </c>
    </row>
    <row r="10" spans="1:25" x14ac:dyDescent="0.25">
      <c r="A10" s="162"/>
      <c r="B10" s="163" t="s">
        <v>108</v>
      </c>
      <c r="C10" s="164">
        <v>39525</v>
      </c>
      <c r="D10" s="164">
        <v>56654</v>
      </c>
      <c r="E10" s="164">
        <v>72207</v>
      </c>
      <c r="F10" s="164">
        <v>71279</v>
      </c>
      <c r="G10" s="164">
        <v>62014</v>
      </c>
      <c r="H10" s="164">
        <v>69805</v>
      </c>
      <c r="I10" s="165">
        <f>IFERROR(H10/G10-1,"-")</f>
        <v>0.12563292159834871</v>
      </c>
      <c r="J10" s="165">
        <f t="shared" si="1"/>
        <v>0.15951600187383599</v>
      </c>
      <c r="K10" s="164">
        <v>133813</v>
      </c>
      <c r="L10" s="164">
        <v>143245</v>
      </c>
      <c r="M10" s="164">
        <v>132687</v>
      </c>
      <c r="N10" s="164">
        <v>123970</v>
      </c>
      <c r="O10" s="164">
        <v>127374</v>
      </c>
      <c r="P10" s="164">
        <v>146061</v>
      </c>
      <c r="Q10" s="165">
        <f>IFERROR(P10/O10-1,"-")</f>
        <v>0.14670968957558062</v>
      </c>
      <c r="R10" s="165">
        <f t="shared" si="3"/>
        <v>7.2983826842734065E-2</v>
      </c>
      <c r="S10" s="164">
        <v>173338</v>
      </c>
      <c r="T10" s="164">
        <v>204894</v>
      </c>
      <c r="U10" s="164">
        <v>195249</v>
      </c>
      <c r="V10" s="164">
        <v>189388</v>
      </c>
      <c r="W10" s="164">
        <v>215866</v>
      </c>
      <c r="X10" s="165">
        <f>IFERROR(W10/V10-1,"-")</f>
        <v>0.13980822438591667</v>
      </c>
      <c r="Y10" s="165">
        <f>W10/W$8</f>
        <v>8.8510154644501335E-2</v>
      </c>
    </row>
    <row r="11" spans="1:25" x14ac:dyDescent="0.25">
      <c r="A11" s="162"/>
      <c r="B11" s="163" t="s">
        <v>105</v>
      </c>
      <c r="C11" s="164">
        <v>16947</v>
      </c>
      <c r="D11" s="164">
        <v>42492</v>
      </c>
      <c r="E11" s="164">
        <v>54871</v>
      </c>
      <c r="F11" s="164">
        <v>56008</v>
      </c>
      <c r="G11" s="164">
        <v>55265</v>
      </c>
      <c r="H11" s="164">
        <v>56567</v>
      </c>
      <c r="I11" s="165">
        <f>IFERROR(H11/G11-1,"-")</f>
        <v>2.3559214692843611E-2</v>
      </c>
      <c r="J11" s="165">
        <f t="shared" si="1"/>
        <v>0.12926497640566265</v>
      </c>
      <c r="K11" s="164">
        <v>119766</v>
      </c>
      <c r="L11" s="164">
        <v>251091</v>
      </c>
      <c r="M11" s="164">
        <v>260424</v>
      </c>
      <c r="N11" s="164">
        <v>254875</v>
      </c>
      <c r="O11" s="164">
        <v>259265</v>
      </c>
      <c r="P11" s="164">
        <v>245397</v>
      </c>
      <c r="Q11" s="165">
        <f>IFERROR(P11/O11-1,"-")</f>
        <v>-5.348967272867533E-2</v>
      </c>
      <c r="R11" s="165">
        <f t="shared" si="3"/>
        <v>0.12262008445599039</v>
      </c>
      <c r="S11" s="164">
        <v>136713</v>
      </c>
      <c r="T11" s="164">
        <v>315295</v>
      </c>
      <c r="U11" s="164">
        <v>310883</v>
      </c>
      <c r="V11" s="164">
        <v>314530</v>
      </c>
      <c r="W11" s="164">
        <v>301964</v>
      </c>
      <c r="X11" s="165">
        <f>IFERROR(W11/V11-1,"-")</f>
        <v>-3.9951673926175602E-2</v>
      </c>
      <c r="Y11" s="165">
        <f>W11/W$8</f>
        <v>0.12381236663982378</v>
      </c>
    </row>
    <row r="12" spans="1:25" x14ac:dyDescent="0.25">
      <c r="A12" s="1"/>
      <c r="B12" s="159" t="s">
        <v>112</v>
      </c>
      <c r="C12" s="160">
        <v>51297</v>
      </c>
      <c r="D12" s="160">
        <v>274085</v>
      </c>
      <c r="E12" s="160">
        <v>308066</v>
      </c>
      <c r="F12" s="160">
        <v>314159</v>
      </c>
      <c r="G12" s="160">
        <v>321532</v>
      </c>
      <c r="H12" s="160">
        <v>311233</v>
      </c>
      <c r="I12" s="161">
        <f>IFERROR(H12/G12-1,"-")</f>
        <v>-3.203102646081879E-2</v>
      </c>
      <c r="J12" s="161">
        <f t="shared" si="1"/>
        <v>0.71121902172050133</v>
      </c>
      <c r="K12" s="160">
        <v>217068</v>
      </c>
      <c r="L12" s="160">
        <v>1343532</v>
      </c>
      <c r="M12" s="160">
        <v>1523254</v>
      </c>
      <c r="N12" s="160">
        <v>1655691</v>
      </c>
      <c r="O12" s="160">
        <v>1604920</v>
      </c>
      <c r="P12" s="160">
        <v>1609821</v>
      </c>
      <c r="Q12" s="161">
        <f>IFERROR(P12/O12-1,"-")</f>
        <v>3.0537347655958946E-3</v>
      </c>
      <c r="R12" s="161">
        <f t="shared" si="3"/>
        <v>0.80439608870127555</v>
      </c>
      <c r="S12" s="160">
        <v>268365</v>
      </c>
      <c r="T12" s="160">
        <v>1831320</v>
      </c>
      <c r="U12" s="160">
        <v>1969850</v>
      </c>
      <c r="V12" s="160">
        <v>1926452</v>
      </c>
      <c r="W12" s="160">
        <v>1921054</v>
      </c>
      <c r="X12" s="161">
        <f>IFERROR(W12/V12-1,"-")</f>
        <v>-2.8020423036753117E-3</v>
      </c>
      <c r="Y12" s="161">
        <f>W12/W$8</f>
        <v>0.78767747871567484</v>
      </c>
    </row>
    <row r="13" spans="1:25" s="57" customFormat="1" x14ac:dyDescent="0.25">
      <c r="B13" s="163" t="s">
        <v>115</v>
      </c>
      <c r="C13" s="164">
        <v>3883</v>
      </c>
      <c r="D13" s="164">
        <v>100957</v>
      </c>
      <c r="E13" s="164">
        <v>121323</v>
      </c>
      <c r="F13" s="164">
        <v>118646</v>
      </c>
      <c r="G13" s="164">
        <v>116227</v>
      </c>
      <c r="H13" s="164">
        <v>103465</v>
      </c>
      <c r="I13" s="165">
        <f t="shared" ref="I13:I20" si="4">IFERROR(H13/G13-1,"-")</f>
        <v>-0.10980236950106259</v>
      </c>
      <c r="J13" s="165">
        <f t="shared" si="1"/>
        <v>0.23643468424720923</v>
      </c>
      <c r="K13" s="164">
        <v>17974</v>
      </c>
      <c r="L13" s="164">
        <v>627747</v>
      </c>
      <c r="M13" s="164">
        <v>705265</v>
      </c>
      <c r="N13" s="164">
        <v>764691</v>
      </c>
      <c r="O13" s="164">
        <v>754663</v>
      </c>
      <c r="P13" s="164">
        <v>776723</v>
      </c>
      <c r="Q13" s="165">
        <f t="shared" ref="Q13:Q20" si="5">IFERROR(P13/O13-1,"-")</f>
        <v>2.9231590789531303E-2</v>
      </c>
      <c r="R13" s="165">
        <f t="shared" si="3"/>
        <v>0.3881133015436628</v>
      </c>
      <c r="S13" s="164">
        <v>21857</v>
      </c>
      <c r="T13" s="164">
        <v>826588</v>
      </c>
      <c r="U13" s="164">
        <v>883337</v>
      </c>
      <c r="V13" s="164">
        <v>870890</v>
      </c>
      <c r="W13" s="164">
        <v>880188</v>
      </c>
      <c r="X13" s="165">
        <f t="shared" ref="X13:X20" si="6">IFERROR(W13/V13-1,"-")</f>
        <v>1.0676434452112193E-2</v>
      </c>
      <c r="Y13" s="165">
        <f t="shared" ref="Y13:Y20" si="7">W13/W$8</f>
        <v>0.36089785328043483</v>
      </c>
    </row>
    <row r="14" spans="1:25" s="57" customFormat="1" x14ac:dyDescent="0.25">
      <c r="B14" s="163" t="s">
        <v>118</v>
      </c>
      <c r="C14" s="164">
        <v>10360</v>
      </c>
      <c r="D14" s="164">
        <v>34832</v>
      </c>
      <c r="E14" s="164">
        <v>41412</v>
      </c>
      <c r="F14" s="164">
        <v>41781</v>
      </c>
      <c r="G14" s="164">
        <v>43541</v>
      </c>
      <c r="H14" s="164">
        <v>40397</v>
      </c>
      <c r="I14" s="165">
        <f t="shared" si="4"/>
        <v>-7.2207804138627929E-2</v>
      </c>
      <c r="J14" s="165">
        <f t="shared" si="1"/>
        <v>9.2313844677277448E-2</v>
      </c>
      <c r="K14" s="164">
        <v>36719</v>
      </c>
      <c r="L14" s="164">
        <v>149734</v>
      </c>
      <c r="M14" s="164">
        <v>175350</v>
      </c>
      <c r="N14" s="164">
        <v>183891</v>
      </c>
      <c r="O14" s="164">
        <v>173955</v>
      </c>
      <c r="P14" s="164">
        <v>164660</v>
      </c>
      <c r="Q14" s="165">
        <f t="shared" si="5"/>
        <v>-5.3433359202092467E-2</v>
      </c>
      <c r="R14" s="165">
        <f t="shared" si="3"/>
        <v>8.2277383613179378E-2</v>
      </c>
      <c r="S14" s="164">
        <v>47079</v>
      </c>
      <c r="T14" s="164">
        <v>216762</v>
      </c>
      <c r="U14" s="164">
        <v>225672</v>
      </c>
      <c r="V14" s="164">
        <v>217496</v>
      </c>
      <c r="W14" s="164">
        <v>205057</v>
      </c>
      <c r="X14" s="165">
        <f t="shared" si="6"/>
        <v>-5.7191856401956787E-2</v>
      </c>
      <c r="Y14" s="165">
        <f t="shared" si="7"/>
        <v>8.4078209541741222E-2</v>
      </c>
    </row>
    <row r="15" spans="1:25" x14ac:dyDescent="0.25">
      <c r="A15" s="1"/>
      <c r="B15" s="163" t="s">
        <v>121</v>
      </c>
      <c r="C15" s="164">
        <v>9532</v>
      </c>
      <c r="D15" s="164">
        <v>18078</v>
      </c>
      <c r="E15" s="164">
        <v>21167</v>
      </c>
      <c r="F15" s="164">
        <v>19601</v>
      </c>
      <c r="G15" s="164">
        <v>20215</v>
      </c>
      <c r="H15" s="164">
        <v>23094</v>
      </c>
      <c r="I15" s="165">
        <f t="shared" si="4"/>
        <v>0.14241899579520156</v>
      </c>
      <c r="J15" s="165">
        <f t="shared" si="1"/>
        <v>5.2773620045474798E-2</v>
      </c>
      <c r="K15" s="164">
        <v>34475</v>
      </c>
      <c r="L15" s="164">
        <v>74813</v>
      </c>
      <c r="M15" s="164">
        <v>82418</v>
      </c>
      <c r="N15" s="164">
        <v>93444</v>
      </c>
      <c r="O15" s="164">
        <v>86088</v>
      </c>
      <c r="P15" s="164">
        <v>87609</v>
      </c>
      <c r="Q15" s="165">
        <f t="shared" si="5"/>
        <v>1.7667967660998096E-2</v>
      </c>
      <c r="R15" s="165">
        <f t="shared" si="3"/>
        <v>4.37765049251004E-2</v>
      </c>
      <c r="S15" s="164">
        <v>44007</v>
      </c>
      <c r="T15" s="164">
        <v>103585</v>
      </c>
      <c r="U15" s="164">
        <v>113045</v>
      </c>
      <c r="V15" s="164">
        <v>106303</v>
      </c>
      <c r="W15" s="164">
        <v>110703</v>
      </c>
      <c r="X15" s="165">
        <f t="shared" si="6"/>
        <v>4.1391117842394021E-2</v>
      </c>
      <c r="Y15" s="165">
        <f t="shared" si="7"/>
        <v>4.5390842696905631E-2</v>
      </c>
    </row>
    <row r="16" spans="1:25" x14ac:dyDescent="0.25">
      <c r="A16" s="1"/>
      <c r="B16" s="163" t="s">
        <v>128</v>
      </c>
      <c r="C16" s="164">
        <v>899</v>
      </c>
      <c r="D16" s="164">
        <v>10763</v>
      </c>
      <c r="E16" s="164">
        <v>7798</v>
      </c>
      <c r="F16" s="164">
        <v>7898</v>
      </c>
      <c r="G16" s="164">
        <v>7666</v>
      </c>
      <c r="H16" s="164">
        <v>8515</v>
      </c>
      <c r="I16" s="165">
        <f t="shared" si="4"/>
        <v>0.1107487607618054</v>
      </c>
      <c r="J16" s="165">
        <f t="shared" si="1"/>
        <v>1.945818717793444E-2</v>
      </c>
      <c r="K16" s="164">
        <v>11034</v>
      </c>
      <c r="L16" s="164">
        <v>62988</v>
      </c>
      <c r="M16" s="164">
        <v>57560</v>
      </c>
      <c r="N16" s="164">
        <v>65686</v>
      </c>
      <c r="O16" s="164">
        <v>60043</v>
      </c>
      <c r="P16" s="164">
        <v>60659</v>
      </c>
      <c r="Q16" s="165">
        <f t="shared" si="5"/>
        <v>1.0259314158186594E-2</v>
      </c>
      <c r="R16" s="165">
        <f t="shared" si="3"/>
        <v>3.0310116680382894E-2</v>
      </c>
      <c r="S16" s="164">
        <v>11933</v>
      </c>
      <c r="T16" s="164">
        <v>65358</v>
      </c>
      <c r="U16" s="164">
        <v>73584</v>
      </c>
      <c r="V16" s="164">
        <v>67709</v>
      </c>
      <c r="W16" s="164">
        <v>69174</v>
      </c>
      <c r="X16" s="165">
        <f t="shared" si="6"/>
        <v>2.163671003854728E-2</v>
      </c>
      <c r="Y16" s="165">
        <f t="shared" si="7"/>
        <v>2.8362972572701286E-2</v>
      </c>
    </row>
    <row r="17" spans="1:25" x14ac:dyDescent="0.25">
      <c r="A17" s="57"/>
      <c r="B17" s="163" t="s">
        <v>124</v>
      </c>
      <c r="C17" s="164">
        <v>1324</v>
      </c>
      <c r="D17" s="164">
        <v>5785</v>
      </c>
      <c r="E17" s="164">
        <v>5790</v>
      </c>
      <c r="F17" s="164">
        <v>5410</v>
      </c>
      <c r="G17" s="164">
        <v>5604</v>
      </c>
      <c r="H17" s="164">
        <v>6669</v>
      </c>
      <c r="I17" s="165">
        <f t="shared" si="4"/>
        <v>0.19004282655246252</v>
      </c>
      <c r="J17" s="165">
        <f t="shared" si="1"/>
        <v>1.5239771026382239E-2</v>
      </c>
      <c r="K17" s="164">
        <v>17551</v>
      </c>
      <c r="L17" s="164">
        <v>70666</v>
      </c>
      <c r="M17" s="164">
        <v>70743</v>
      </c>
      <c r="N17" s="164">
        <v>75983</v>
      </c>
      <c r="O17" s="164">
        <v>67826</v>
      </c>
      <c r="P17" s="164">
        <v>69605</v>
      </c>
      <c r="Q17" s="165">
        <f t="shared" si="5"/>
        <v>2.6228879780615166E-2</v>
      </c>
      <c r="R17" s="165">
        <f t="shared" si="3"/>
        <v>3.4780258024993016E-2</v>
      </c>
      <c r="S17" s="164">
        <v>18875</v>
      </c>
      <c r="T17" s="164">
        <v>76533</v>
      </c>
      <c r="U17" s="164">
        <v>81393</v>
      </c>
      <c r="V17" s="164">
        <v>73430</v>
      </c>
      <c r="W17" s="164">
        <v>76274</v>
      </c>
      <c r="X17" s="165">
        <f t="shared" si="6"/>
        <v>3.8730763992918416E-2</v>
      </c>
      <c r="Y17" s="165">
        <f t="shared" si="7"/>
        <v>3.1274140139506433E-2</v>
      </c>
    </row>
    <row r="18" spans="1:25" x14ac:dyDescent="0.25">
      <c r="A18" s="57"/>
      <c r="B18" s="163" t="s">
        <v>133</v>
      </c>
      <c r="C18" s="164">
        <v>181</v>
      </c>
      <c r="D18" s="164">
        <v>3612</v>
      </c>
      <c r="E18" s="164">
        <v>4283</v>
      </c>
      <c r="F18" s="164">
        <v>3390</v>
      </c>
      <c r="G18" s="164">
        <v>3472</v>
      </c>
      <c r="H18" s="164">
        <v>2990</v>
      </c>
      <c r="I18" s="165">
        <f t="shared" si="4"/>
        <v>-0.13882488479262678</v>
      </c>
      <c r="J18" s="165">
        <f t="shared" si="1"/>
        <v>6.8326458792746887E-3</v>
      </c>
      <c r="K18" s="164">
        <v>883</v>
      </c>
      <c r="L18" s="164">
        <v>19249</v>
      </c>
      <c r="M18" s="164">
        <v>24791</v>
      </c>
      <c r="N18" s="164">
        <v>22899</v>
      </c>
      <c r="O18" s="164">
        <v>21719</v>
      </c>
      <c r="P18" s="164">
        <v>18701</v>
      </c>
      <c r="Q18" s="165">
        <f t="shared" si="5"/>
        <v>-0.13895667388001287</v>
      </c>
      <c r="R18" s="165">
        <f t="shared" si="3"/>
        <v>9.3445241767889427E-3</v>
      </c>
      <c r="S18" s="164">
        <v>1064</v>
      </c>
      <c r="T18" s="164">
        <v>29074</v>
      </c>
      <c r="U18" s="164">
        <v>26289</v>
      </c>
      <c r="V18" s="164">
        <v>25191</v>
      </c>
      <c r="W18" s="164">
        <v>21691</v>
      </c>
      <c r="X18" s="165">
        <f t="shared" si="6"/>
        <v>-0.1389385097852408</v>
      </c>
      <c r="Y18" s="165">
        <f t="shared" si="7"/>
        <v>8.8938219283901977E-3</v>
      </c>
    </row>
    <row r="19" spans="1:25" x14ac:dyDescent="0.25">
      <c r="A19" s="57"/>
      <c r="B19" s="163" t="s">
        <v>136</v>
      </c>
      <c r="C19" s="164">
        <v>241</v>
      </c>
      <c r="D19" s="164">
        <v>2031</v>
      </c>
      <c r="E19" s="164">
        <v>2490</v>
      </c>
      <c r="F19" s="164">
        <v>2050</v>
      </c>
      <c r="G19" s="164">
        <v>2252</v>
      </c>
      <c r="H19" s="164">
        <v>1761</v>
      </c>
      <c r="I19" s="165">
        <f t="shared" si="4"/>
        <v>-0.21802841918294846</v>
      </c>
      <c r="J19" s="165">
        <f t="shared" si="1"/>
        <v>4.0241770546497408E-3</v>
      </c>
      <c r="K19" s="164">
        <v>1223</v>
      </c>
      <c r="L19" s="164">
        <v>13987</v>
      </c>
      <c r="M19" s="164">
        <v>22838</v>
      </c>
      <c r="N19" s="164">
        <v>22302</v>
      </c>
      <c r="O19" s="164">
        <v>18521</v>
      </c>
      <c r="P19" s="164">
        <v>18665</v>
      </c>
      <c r="Q19" s="165">
        <f t="shared" si="5"/>
        <v>7.7749581556072478E-3</v>
      </c>
      <c r="R19" s="165">
        <f t="shared" si="3"/>
        <v>9.3265356804323636E-3</v>
      </c>
      <c r="S19" s="164">
        <v>1464</v>
      </c>
      <c r="T19" s="164">
        <v>25328</v>
      </c>
      <c r="U19" s="164">
        <v>24352</v>
      </c>
      <c r="V19" s="164">
        <v>20773</v>
      </c>
      <c r="W19" s="164">
        <v>20426</v>
      </c>
      <c r="X19" s="165">
        <f t="shared" si="6"/>
        <v>-1.6704375872526822E-2</v>
      </c>
      <c r="Y19" s="165">
        <f t="shared" si="7"/>
        <v>8.3751420731777316E-3</v>
      </c>
    </row>
    <row r="20" spans="1:25" x14ac:dyDescent="0.25">
      <c r="A20" s="57"/>
      <c r="B20" s="168" t="s">
        <v>150</v>
      </c>
      <c r="C20" s="169">
        <f t="shared" ref="C20:H20" si="8">C12-SUM(C13:C19)</f>
        <v>24877</v>
      </c>
      <c r="D20" s="169">
        <f t="shared" si="8"/>
        <v>98027</v>
      </c>
      <c r="E20" s="169">
        <f t="shared" si="8"/>
        <v>103803</v>
      </c>
      <c r="F20" s="169">
        <f t="shared" si="8"/>
        <v>115383</v>
      </c>
      <c r="G20" s="169">
        <f t="shared" si="8"/>
        <v>122555</v>
      </c>
      <c r="H20" s="169">
        <f t="shared" si="8"/>
        <v>124342</v>
      </c>
      <c r="I20" s="170">
        <f t="shared" si="4"/>
        <v>1.4581208437028259E-2</v>
      </c>
      <c r="J20" s="170">
        <f t="shared" si="1"/>
        <v>0.28414209161229875</v>
      </c>
      <c r="K20" s="169">
        <f t="shared" ref="K20:P20" si="9">K12-SUM(K13:K19)</f>
        <v>97209</v>
      </c>
      <c r="L20" s="169">
        <f t="shared" si="9"/>
        <v>324348</v>
      </c>
      <c r="M20" s="169">
        <f t="shared" si="9"/>
        <v>384289</v>
      </c>
      <c r="N20" s="169">
        <f t="shared" si="9"/>
        <v>426795</v>
      </c>
      <c r="O20" s="169">
        <f t="shared" si="9"/>
        <v>422105</v>
      </c>
      <c r="P20" s="169">
        <f t="shared" si="9"/>
        <v>413199</v>
      </c>
      <c r="Q20" s="170">
        <f t="shared" si="5"/>
        <v>-2.1099015647765396E-2</v>
      </c>
      <c r="R20" s="170">
        <f t="shared" si="3"/>
        <v>0.20646746405673572</v>
      </c>
      <c r="S20" s="169">
        <f>S12-SUM(S13:S19)</f>
        <v>122086</v>
      </c>
      <c r="T20" s="169">
        <f>T12-SUM(T13:T19)</f>
        <v>488092</v>
      </c>
      <c r="U20" s="169">
        <f>U12-SUM(U13:U19)</f>
        <v>542178</v>
      </c>
      <c r="V20" s="169">
        <f>V12-SUM(V13:V19)</f>
        <v>544660</v>
      </c>
      <c r="W20" s="169">
        <f>W12-SUM(W13:W19)</f>
        <v>537541</v>
      </c>
      <c r="X20" s="170">
        <f t="shared" si="6"/>
        <v>-1.307053941908709E-2</v>
      </c>
      <c r="Y20" s="170">
        <f t="shared" si="7"/>
        <v>0.22040449648281754</v>
      </c>
    </row>
    <row r="21" spans="1:25" x14ac:dyDescent="0.25">
      <c r="A21" s="57"/>
      <c r="B21" s="155" t="s">
        <v>46</v>
      </c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  <c r="P21" s="153"/>
      <c r="Q21" s="153"/>
      <c r="R21" s="153"/>
      <c r="S21" s="153"/>
      <c r="T21" s="153"/>
      <c r="U21" s="153"/>
      <c r="V21" s="153"/>
      <c r="W21" s="153"/>
      <c r="X21" s="153"/>
      <c r="Y21" s="153"/>
    </row>
    <row r="22" spans="1:25" x14ac:dyDescent="0.25">
      <c r="A22" s="57"/>
      <c r="B22" s="156" t="s">
        <v>73</v>
      </c>
      <c r="C22" s="176">
        <f t="shared" ref="C22:H22" si="10">C23+C26</f>
        <v>9993</v>
      </c>
      <c r="D22" s="176">
        <f t="shared" si="10"/>
        <v>90666</v>
      </c>
      <c r="E22" s="176">
        <f t="shared" si="10"/>
        <v>96508</v>
      </c>
      <c r="F22" s="176">
        <f t="shared" si="10"/>
        <v>90305</v>
      </c>
      <c r="G22" s="176">
        <f t="shared" si="10"/>
        <v>93198</v>
      </c>
      <c r="H22" s="176">
        <f t="shared" si="10"/>
        <v>88233</v>
      </c>
      <c r="I22" s="177">
        <f>IFERROR(H22/G22-1,"-")</f>
        <v>-5.3273675400759668E-2</v>
      </c>
      <c r="J22" s="177">
        <f t="shared" ref="J22:J34" si="11">H22/H$8</f>
        <v>0.20162703808228882</v>
      </c>
      <c r="K22" s="176">
        <f t="shared" ref="K22:P22" si="12">K23+K26</f>
        <v>222118</v>
      </c>
      <c r="L22" s="176">
        <f t="shared" si="12"/>
        <v>761663</v>
      </c>
      <c r="M22" s="176">
        <f t="shared" si="12"/>
        <v>788712</v>
      </c>
      <c r="N22" s="176">
        <f t="shared" si="12"/>
        <v>825410</v>
      </c>
      <c r="O22" s="176">
        <f t="shared" si="12"/>
        <v>767121</v>
      </c>
      <c r="P22" s="176">
        <f t="shared" si="12"/>
        <v>786283</v>
      </c>
      <c r="Q22" s="177">
        <f>IFERROR(P22/O22-1,"-")</f>
        <v>2.4979110205560762E-2</v>
      </c>
      <c r="R22" s="177">
        <f t="shared" ref="R22:R34" si="13">P22/P$8</f>
        <v>0.39289024668724348</v>
      </c>
      <c r="S22" s="176">
        <f>S23+S26</f>
        <v>232111</v>
      </c>
      <c r="T22" s="176">
        <f>T23+T26</f>
        <v>885220</v>
      </c>
      <c r="U22" s="176">
        <f>U23+U26</f>
        <v>915715</v>
      </c>
      <c r="V22" s="176">
        <f>V23+V26</f>
        <v>860319</v>
      </c>
      <c r="W22" s="176">
        <f>W23+W26</f>
        <v>874516</v>
      </c>
      <c r="X22" s="177">
        <f>IFERROR(W22/V22-1,"-")</f>
        <v>1.6502018437346999E-2</v>
      </c>
      <c r="Y22" s="177">
        <f>W22/W$8</f>
        <v>0.35857219941579838</v>
      </c>
    </row>
    <row r="23" spans="1:25" x14ac:dyDescent="0.25">
      <c r="A23" s="57"/>
      <c r="B23" s="159" t="s">
        <v>102</v>
      </c>
      <c r="C23" s="160">
        <v>3162</v>
      </c>
      <c r="D23" s="160">
        <v>7652</v>
      </c>
      <c r="E23" s="160">
        <v>6848</v>
      </c>
      <c r="F23" s="160">
        <v>4502</v>
      </c>
      <c r="G23" s="160">
        <v>5257</v>
      </c>
      <c r="H23" s="160">
        <v>7024</v>
      </c>
      <c r="I23" s="161">
        <f>IFERROR(H23/G23-1,"-")</f>
        <v>0.3361232642191363</v>
      </c>
      <c r="J23" s="161">
        <f t="shared" si="11"/>
        <v>1.6051004901680741E-2</v>
      </c>
      <c r="K23" s="160">
        <v>108542</v>
      </c>
      <c r="L23" s="160">
        <v>93368</v>
      </c>
      <c r="M23" s="160">
        <v>74916</v>
      </c>
      <c r="N23" s="160">
        <v>64817</v>
      </c>
      <c r="O23" s="160">
        <v>56288</v>
      </c>
      <c r="P23" s="160">
        <v>57520</v>
      </c>
      <c r="Q23" s="161">
        <f>IFERROR(P23/O23-1,"-")</f>
        <v>2.1887436043206421E-2</v>
      </c>
      <c r="R23" s="161">
        <f t="shared" si="13"/>
        <v>2.8741619734179991E-2</v>
      </c>
      <c r="S23" s="160">
        <v>111704</v>
      </c>
      <c r="T23" s="160">
        <v>81764</v>
      </c>
      <c r="U23" s="160">
        <v>69319</v>
      </c>
      <c r="V23" s="160">
        <v>61545</v>
      </c>
      <c r="W23" s="160">
        <v>64544</v>
      </c>
      <c r="X23" s="161">
        <f>IFERROR(W23/V23-1,"-")</f>
        <v>4.8728572589162411E-2</v>
      </c>
      <c r="Y23" s="161">
        <f>W23/W$8</f>
        <v>2.6464563300263564E-2</v>
      </c>
    </row>
    <row r="24" spans="1:25" x14ac:dyDescent="0.25">
      <c r="A24" s="57"/>
      <c r="B24" s="163" t="s">
        <v>108</v>
      </c>
      <c r="C24" s="164">
        <v>1639</v>
      </c>
      <c r="D24" s="164">
        <v>4098</v>
      </c>
      <c r="E24" s="164">
        <v>3399</v>
      </c>
      <c r="F24" s="164">
        <v>1588</v>
      </c>
      <c r="G24" s="164">
        <v>1753</v>
      </c>
      <c r="H24" s="164">
        <v>3160</v>
      </c>
      <c r="I24" s="165">
        <f>IFERROR(H24/G24-1,"-")</f>
        <v>0.8026240730176839</v>
      </c>
      <c r="J24" s="165">
        <f t="shared" si="11"/>
        <v>7.2211240730796038E-3</v>
      </c>
      <c r="K24" s="164">
        <v>58399</v>
      </c>
      <c r="L24" s="164">
        <v>38183</v>
      </c>
      <c r="M24" s="164">
        <v>29299</v>
      </c>
      <c r="N24" s="164">
        <v>22995</v>
      </c>
      <c r="O24" s="164">
        <v>25948</v>
      </c>
      <c r="P24" s="164">
        <v>27782</v>
      </c>
      <c r="Q24" s="165">
        <f>IFERROR(P24/O24-1,"-")</f>
        <v>7.0679821180823277E-2</v>
      </c>
      <c r="R24" s="165">
        <f t="shared" si="13"/>
        <v>1.388212238273624E-2</v>
      </c>
      <c r="S24" s="164">
        <v>60038</v>
      </c>
      <c r="T24" s="164">
        <v>32698</v>
      </c>
      <c r="U24" s="164">
        <v>24583</v>
      </c>
      <c r="V24" s="164">
        <v>27701</v>
      </c>
      <c r="W24" s="164">
        <v>30942</v>
      </c>
      <c r="X24" s="165">
        <f>IFERROR(W24/V24-1,"-")</f>
        <v>0.11699938630374351</v>
      </c>
      <c r="Y24" s="165">
        <f>W24/W$8</f>
        <v>1.2686950260857015E-2</v>
      </c>
    </row>
    <row r="25" spans="1:25" x14ac:dyDescent="0.25">
      <c r="A25" s="57"/>
      <c r="B25" s="163" t="s">
        <v>105</v>
      </c>
      <c r="C25" s="164">
        <v>1523</v>
      </c>
      <c r="D25" s="164">
        <v>3554</v>
      </c>
      <c r="E25" s="164">
        <v>3449</v>
      </c>
      <c r="F25" s="164">
        <v>2914</v>
      </c>
      <c r="G25" s="164">
        <v>3504</v>
      </c>
      <c r="H25" s="164">
        <v>3864</v>
      </c>
      <c r="I25" s="165">
        <f>IFERROR(H25/G25-1,"-")</f>
        <v>0.10273972602739723</v>
      </c>
      <c r="J25" s="165">
        <f t="shared" si="11"/>
        <v>8.8298808286011356E-3</v>
      </c>
      <c r="K25" s="164">
        <v>50143</v>
      </c>
      <c r="L25" s="164">
        <v>55185</v>
      </c>
      <c r="M25" s="164">
        <v>45617</v>
      </c>
      <c r="N25" s="164">
        <v>41822</v>
      </c>
      <c r="O25" s="164">
        <v>30340</v>
      </c>
      <c r="P25" s="164">
        <v>29738</v>
      </c>
      <c r="Q25" s="165">
        <f>IFERROR(P25/O25-1,"-")</f>
        <v>-1.9841793012524755E-2</v>
      </c>
      <c r="R25" s="165">
        <f t="shared" si="13"/>
        <v>1.4859497351443752E-2</v>
      </c>
      <c r="S25" s="164">
        <v>51666</v>
      </c>
      <c r="T25" s="164">
        <v>49066</v>
      </c>
      <c r="U25" s="164">
        <v>44736</v>
      </c>
      <c r="V25" s="164">
        <v>33844</v>
      </c>
      <c r="W25" s="164">
        <v>33602</v>
      </c>
      <c r="X25" s="165">
        <f>IFERROR(W25/V25-1,"-")</f>
        <v>-7.1504550289563928E-3</v>
      </c>
      <c r="Y25" s="165">
        <f>W25/W$8</f>
        <v>1.3777613039406549E-2</v>
      </c>
    </row>
    <row r="26" spans="1:25" x14ac:dyDescent="0.25">
      <c r="A26" s="57"/>
      <c r="B26" s="159" t="s">
        <v>112</v>
      </c>
      <c r="C26" s="160">
        <v>6831</v>
      </c>
      <c r="D26" s="160">
        <v>83014</v>
      </c>
      <c r="E26" s="160">
        <v>89660</v>
      </c>
      <c r="F26" s="160">
        <v>85803</v>
      </c>
      <c r="G26" s="160">
        <v>87941</v>
      </c>
      <c r="H26" s="160">
        <v>81209</v>
      </c>
      <c r="I26" s="161">
        <f>IFERROR(H26/G26-1,"-")</f>
        <v>-7.6551324183259273E-2</v>
      </c>
      <c r="J26" s="161">
        <f t="shared" si="11"/>
        <v>0.18557603318060809</v>
      </c>
      <c r="K26" s="160">
        <v>113576</v>
      </c>
      <c r="L26" s="160">
        <v>668295</v>
      </c>
      <c r="M26" s="160">
        <v>713796</v>
      </c>
      <c r="N26" s="160">
        <v>760593</v>
      </c>
      <c r="O26" s="160">
        <v>710833</v>
      </c>
      <c r="P26" s="160">
        <v>728763</v>
      </c>
      <c r="Q26" s="161">
        <f>IFERROR(P26/O26-1,"-")</f>
        <v>2.52239274203645E-2</v>
      </c>
      <c r="R26" s="161">
        <f t="shared" si="13"/>
        <v>0.36414862695306349</v>
      </c>
      <c r="S26" s="160">
        <v>120407</v>
      </c>
      <c r="T26" s="160">
        <v>803456</v>
      </c>
      <c r="U26" s="160">
        <v>846396</v>
      </c>
      <c r="V26" s="160">
        <v>798774</v>
      </c>
      <c r="W26" s="160">
        <v>809972</v>
      </c>
      <c r="X26" s="161">
        <f>IFERROR(W26/V26-1,"-")</f>
        <v>1.4018984093122633E-2</v>
      </c>
      <c r="Y26" s="161">
        <f>W26/W$8</f>
        <v>0.33210763611553479</v>
      </c>
    </row>
    <row r="27" spans="1:25" s="57" customFormat="1" x14ac:dyDescent="0.25">
      <c r="B27" s="163" t="s">
        <v>115</v>
      </c>
      <c r="C27" s="164">
        <v>577</v>
      </c>
      <c r="D27" s="164">
        <v>34894</v>
      </c>
      <c r="E27" s="164">
        <v>39217</v>
      </c>
      <c r="F27" s="164">
        <v>37961</v>
      </c>
      <c r="G27" s="164">
        <v>37766</v>
      </c>
      <c r="H27" s="164">
        <v>32866</v>
      </c>
      <c r="I27" s="165">
        <f t="shared" ref="I27:I34" si="14">IFERROR(H27/G27-1,"-")</f>
        <v>-0.12974633268018854</v>
      </c>
      <c r="J27" s="165">
        <f t="shared" si="11"/>
        <v>7.5104260691719701E-2</v>
      </c>
      <c r="K27" s="164">
        <v>10130</v>
      </c>
      <c r="L27" s="164">
        <v>337647</v>
      </c>
      <c r="M27" s="164">
        <v>363406</v>
      </c>
      <c r="N27" s="164">
        <v>387877</v>
      </c>
      <c r="O27" s="164">
        <v>367853</v>
      </c>
      <c r="P27" s="164">
        <v>384632</v>
      </c>
      <c r="Q27" s="165">
        <f t="shared" ref="Q27:Q34" si="15">IFERROR(P27/O27-1,"-")</f>
        <v>4.5613329237494282E-2</v>
      </c>
      <c r="R27" s="165">
        <f t="shared" si="13"/>
        <v>0.19219309251733516</v>
      </c>
      <c r="S27" s="164">
        <v>10707</v>
      </c>
      <c r="T27" s="164">
        <v>402623</v>
      </c>
      <c r="U27" s="164">
        <v>425838</v>
      </c>
      <c r="V27" s="164">
        <v>405619</v>
      </c>
      <c r="W27" s="164">
        <v>417498</v>
      </c>
      <c r="X27" s="165">
        <f t="shared" ref="X27:X34" si="16">IFERROR(W27/V27-1,"-")</f>
        <v>2.9286103461622748E-2</v>
      </c>
      <c r="Y27" s="165">
        <f t="shared" ref="Y27:Y34" si="17">W27/W$8</f>
        <v>0.17118403335295979</v>
      </c>
    </row>
    <row r="28" spans="1:25" s="57" customFormat="1" x14ac:dyDescent="0.25">
      <c r="B28" s="163" t="s">
        <v>118</v>
      </c>
      <c r="C28" s="164">
        <v>1956</v>
      </c>
      <c r="D28" s="164">
        <v>14902</v>
      </c>
      <c r="E28" s="164">
        <v>17608</v>
      </c>
      <c r="F28" s="164">
        <v>16708</v>
      </c>
      <c r="G28" s="164">
        <v>17339</v>
      </c>
      <c r="H28" s="164">
        <v>15869</v>
      </c>
      <c r="I28" s="165">
        <f t="shared" si="14"/>
        <v>-8.4779975777149796E-2</v>
      </c>
      <c r="J28" s="165">
        <f t="shared" si="11"/>
        <v>3.6263296808765895E-2</v>
      </c>
      <c r="K28" s="164">
        <v>21543</v>
      </c>
      <c r="L28" s="164">
        <v>71123</v>
      </c>
      <c r="M28" s="164">
        <v>77465</v>
      </c>
      <c r="N28" s="164">
        <v>79069</v>
      </c>
      <c r="O28" s="164">
        <v>71875</v>
      </c>
      <c r="P28" s="164">
        <v>67350</v>
      </c>
      <c r="Q28" s="165">
        <f t="shared" si="15"/>
        <v>-6.2956521739130467E-2</v>
      </c>
      <c r="R28" s="165">
        <f t="shared" si="13"/>
        <v>3.3653478600435022E-2</v>
      </c>
      <c r="S28" s="164">
        <v>23499</v>
      </c>
      <c r="T28" s="164">
        <v>95073</v>
      </c>
      <c r="U28" s="164">
        <v>95777</v>
      </c>
      <c r="V28" s="164">
        <v>89214</v>
      </c>
      <c r="W28" s="164">
        <v>83219</v>
      </c>
      <c r="X28" s="165">
        <f t="shared" si="16"/>
        <v>-6.719797341224476E-2</v>
      </c>
      <c r="Y28" s="165">
        <f t="shared" si="17"/>
        <v>3.4121754048163012E-2</v>
      </c>
    </row>
    <row r="29" spans="1:25" x14ac:dyDescent="0.25">
      <c r="A29" s="57"/>
      <c r="B29" s="163" t="s">
        <v>121</v>
      </c>
      <c r="C29" s="164">
        <v>2131</v>
      </c>
      <c r="D29" s="164">
        <v>2359</v>
      </c>
      <c r="E29" s="164">
        <v>1960</v>
      </c>
      <c r="F29" s="164">
        <v>1806</v>
      </c>
      <c r="G29" s="164">
        <v>1937</v>
      </c>
      <c r="H29" s="164">
        <v>2422</v>
      </c>
      <c r="I29" s="165">
        <f t="shared" si="14"/>
        <v>0.25038719669592147</v>
      </c>
      <c r="J29" s="165">
        <f t="shared" si="11"/>
        <v>5.5346716787970885E-3</v>
      </c>
      <c r="K29" s="164">
        <v>14477</v>
      </c>
      <c r="L29" s="164">
        <v>28352</v>
      </c>
      <c r="M29" s="164">
        <v>26753</v>
      </c>
      <c r="N29" s="164">
        <v>24033</v>
      </c>
      <c r="O29" s="164">
        <v>21913</v>
      </c>
      <c r="P29" s="164">
        <v>25138</v>
      </c>
      <c r="Q29" s="165">
        <f t="shared" si="15"/>
        <v>0.14717291105736319</v>
      </c>
      <c r="R29" s="165">
        <f t="shared" si="13"/>
        <v>1.2560967261436311E-2</v>
      </c>
      <c r="S29" s="164">
        <v>16608</v>
      </c>
      <c r="T29" s="164">
        <v>28713</v>
      </c>
      <c r="U29" s="164">
        <v>25839</v>
      </c>
      <c r="V29" s="164">
        <v>23850</v>
      </c>
      <c r="W29" s="164">
        <v>27560</v>
      </c>
      <c r="X29" s="165">
        <f t="shared" si="16"/>
        <v>0.15555555555555545</v>
      </c>
      <c r="Y29" s="165">
        <f t="shared" si="17"/>
        <v>1.1300250442415465E-2</v>
      </c>
    </row>
    <row r="30" spans="1:25" x14ac:dyDescent="0.25">
      <c r="A30" s="57"/>
      <c r="B30" s="163" t="s">
        <v>128</v>
      </c>
      <c r="C30" s="164">
        <v>134</v>
      </c>
      <c r="D30" s="164">
        <v>4505</v>
      </c>
      <c r="E30" s="164">
        <v>2358</v>
      </c>
      <c r="F30" s="164">
        <v>1903</v>
      </c>
      <c r="G30" s="164">
        <v>2047</v>
      </c>
      <c r="H30" s="164">
        <v>2684</v>
      </c>
      <c r="I30" s="165">
        <f t="shared" si="14"/>
        <v>0.31118710307767472</v>
      </c>
      <c r="J30" s="165">
        <f t="shared" si="11"/>
        <v>6.133385130425841E-3</v>
      </c>
      <c r="K30" s="164">
        <v>6234</v>
      </c>
      <c r="L30" s="164">
        <v>35461</v>
      </c>
      <c r="M30" s="164">
        <v>30471</v>
      </c>
      <c r="N30" s="164">
        <v>33884</v>
      </c>
      <c r="O30" s="164">
        <v>30482</v>
      </c>
      <c r="P30" s="164">
        <v>32827</v>
      </c>
      <c r="Q30" s="165">
        <f t="shared" si="15"/>
        <v>7.6930647595302215E-2</v>
      </c>
      <c r="R30" s="165">
        <f t="shared" si="13"/>
        <v>1.6403010274929183E-2</v>
      </c>
      <c r="S30" s="164">
        <v>6368</v>
      </c>
      <c r="T30" s="164">
        <v>32829</v>
      </c>
      <c r="U30" s="164">
        <v>35787</v>
      </c>
      <c r="V30" s="164">
        <v>32529</v>
      </c>
      <c r="W30" s="164">
        <v>35511</v>
      </c>
      <c r="X30" s="165">
        <f t="shared" si="16"/>
        <v>9.1672046481600988E-2</v>
      </c>
      <c r="Y30" s="165">
        <f t="shared" si="17"/>
        <v>1.456034809363627E-2</v>
      </c>
    </row>
    <row r="31" spans="1:25" x14ac:dyDescent="0.25">
      <c r="A31" s="57"/>
      <c r="B31" s="163" t="s">
        <v>124</v>
      </c>
      <c r="C31" s="164">
        <v>225</v>
      </c>
      <c r="D31" s="164">
        <v>2544</v>
      </c>
      <c r="E31" s="164">
        <v>1797</v>
      </c>
      <c r="F31" s="164">
        <v>1366</v>
      </c>
      <c r="G31" s="164">
        <v>1381</v>
      </c>
      <c r="H31" s="164">
        <v>1434</v>
      </c>
      <c r="I31" s="165">
        <f t="shared" si="14"/>
        <v>3.8377986965966615E-2</v>
      </c>
      <c r="J31" s="165">
        <f t="shared" si="11"/>
        <v>3.276927823036757E-3</v>
      </c>
      <c r="K31" s="164">
        <v>11132</v>
      </c>
      <c r="L31" s="164">
        <v>43980</v>
      </c>
      <c r="M31" s="164">
        <v>41068</v>
      </c>
      <c r="N31" s="164">
        <v>42895</v>
      </c>
      <c r="O31" s="164">
        <v>39953</v>
      </c>
      <c r="P31" s="164">
        <v>42088</v>
      </c>
      <c r="Q31" s="165">
        <f t="shared" si="15"/>
        <v>5.3437789402547953E-2</v>
      </c>
      <c r="R31" s="165">
        <f t="shared" si="13"/>
        <v>2.1030550962659378E-2</v>
      </c>
      <c r="S31" s="164">
        <v>11357</v>
      </c>
      <c r="T31" s="164">
        <v>42865</v>
      </c>
      <c r="U31" s="164">
        <v>44261</v>
      </c>
      <c r="V31" s="164">
        <v>41334</v>
      </c>
      <c r="W31" s="164">
        <v>43522</v>
      </c>
      <c r="X31" s="165">
        <f t="shared" si="16"/>
        <v>5.2934630086611589E-2</v>
      </c>
      <c r="Y31" s="165">
        <f t="shared" si="17"/>
        <v>1.7845047160914583E-2</v>
      </c>
    </row>
    <row r="32" spans="1:25" x14ac:dyDescent="0.25">
      <c r="A32" s="57"/>
      <c r="B32" s="163" t="s">
        <v>133</v>
      </c>
      <c r="C32" s="164">
        <v>39</v>
      </c>
      <c r="D32" s="164">
        <v>1165</v>
      </c>
      <c r="E32" s="164">
        <v>1546</v>
      </c>
      <c r="F32" s="164">
        <v>1571</v>
      </c>
      <c r="G32" s="164">
        <v>1361</v>
      </c>
      <c r="H32" s="164">
        <v>1390</v>
      </c>
      <c r="I32" s="165">
        <f t="shared" si="14"/>
        <v>2.1307861866274758E-2</v>
      </c>
      <c r="J32" s="165">
        <f t="shared" si="11"/>
        <v>3.176380525816661E-3</v>
      </c>
      <c r="K32" s="164">
        <v>240</v>
      </c>
      <c r="L32" s="164">
        <v>10893</v>
      </c>
      <c r="M32" s="164">
        <v>11766</v>
      </c>
      <c r="N32" s="164">
        <v>11483</v>
      </c>
      <c r="O32" s="164">
        <v>10159</v>
      </c>
      <c r="P32" s="164">
        <v>9289</v>
      </c>
      <c r="Q32" s="165">
        <f t="shared" si="15"/>
        <v>-8.5638350231321936E-2</v>
      </c>
      <c r="R32" s="165">
        <f t="shared" si="13"/>
        <v>4.6415317404519809E-3</v>
      </c>
      <c r="S32" s="164">
        <v>279</v>
      </c>
      <c r="T32" s="164">
        <v>13312</v>
      </c>
      <c r="U32" s="164">
        <v>13054</v>
      </c>
      <c r="V32" s="164">
        <v>11520</v>
      </c>
      <c r="W32" s="164">
        <v>10679</v>
      </c>
      <c r="X32" s="165">
        <f t="shared" si="16"/>
        <v>-7.3003472222222254E-2</v>
      </c>
      <c r="Y32" s="165">
        <f t="shared" si="17"/>
        <v>4.3786420346355135E-3</v>
      </c>
    </row>
    <row r="33" spans="1:25" x14ac:dyDescent="0.25">
      <c r="A33" s="57"/>
      <c r="B33" s="163" t="s">
        <v>136</v>
      </c>
      <c r="C33" s="164">
        <v>3</v>
      </c>
      <c r="D33" s="164">
        <v>398</v>
      </c>
      <c r="E33" s="164">
        <v>558</v>
      </c>
      <c r="F33" s="164">
        <v>323</v>
      </c>
      <c r="G33" s="164">
        <v>286</v>
      </c>
      <c r="H33" s="164">
        <v>440</v>
      </c>
      <c r="I33" s="165">
        <f t="shared" si="14"/>
        <v>0.53846153846153855</v>
      </c>
      <c r="J33" s="165">
        <f t="shared" si="11"/>
        <v>1.0054729722009574E-3</v>
      </c>
      <c r="K33" s="164">
        <v>255</v>
      </c>
      <c r="L33" s="164">
        <v>6918</v>
      </c>
      <c r="M33" s="164">
        <v>11527</v>
      </c>
      <c r="N33" s="164">
        <v>11074</v>
      </c>
      <c r="O33" s="164">
        <v>9474</v>
      </c>
      <c r="P33" s="164">
        <v>8696</v>
      </c>
      <c r="Q33" s="165">
        <f t="shared" si="15"/>
        <v>-8.2119484906058693E-2</v>
      </c>
      <c r="R33" s="165">
        <f t="shared" si="13"/>
        <v>4.3452212310227606E-3</v>
      </c>
      <c r="S33" s="164">
        <v>258</v>
      </c>
      <c r="T33" s="164">
        <v>12085</v>
      </c>
      <c r="U33" s="164">
        <v>11397</v>
      </c>
      <c r="V33" s="164">
        <v>9760</v>
      </c>
      <c r="W33" s="164">
        <v>9136</v>
      </c>
      <c r="X33" s="165">
        <f t="shared" si="16"/>
        <v>-6.3934426229508179E-2</v>
      </c>
      <c r="Y33" s="165">
        <f t="shared" si="17"/>
        <v>3.7459756183565924E-3</v>
      </c>
    </row>
    <row r="34" spans="1:25" x14ac:dyDescent="0.25">
      <c r="A34" s="57"/>
      <c r="B34" s="168" t="s">
        <v>150</v>
      </c>
      <c r="C34" s="169">
        <f t="shared" ref="C34:H34" si="18">C26-SUM(C27:C33)</f>
        <v>1766</v>
      </c>
      <c r="D34" s="169">
        <f t="shared" si="18"/>
        <v>22247</v>
      </c>
      <c r="E34" s="169">
        <f t="shared" si="18"/>
        <v>24616</v>
      </c>
      <c r="F34" s="169">
        <f t="shared" si="18"/>
        <v>24165</v>
      </c>
      <c r="G34" s="169">
        <f t="shared" si="18"/>
        <v>25824</v>
      </c>
      <c r="H34" s="169">
        <f t="shared" si="18"/>
        <v>24104</v>
      </c>
      <c r="I34" s="170">
        <f t="shared" si="14"/>
        <v>-6.6604708798017387E-2</v>
      </c>
      <c r="J34" s="170">
        <f t="shared" si="11"/>
        <v>5.5081637549845179E-2</v>
      </c>
      <c r="K34" s="169">
        <f t="shared" ref="K34:P34" si="19">K26-SUM(K27:K33)</f>
        <v>49565</v>
      </c>
      <c r="L34" s="169">
        <f t="shared" si="19"/>
        <v>133921</v>
      </c>
      <c r="M34" s="169">
        <f t="shared" si="19"/>
        <v>151340</v>
      </c>
      <c r="N34" s="169">
        <f t="shared" si="19"/>
        <v>170278</v>
      </c>
      <c r="O34" s="169">
        <f t="shared" si="19"/>
        <v>159124</v>
      </c>
      <c r="P34" s="169">
        <f t="shared" si="19"/>
        <v>158743</v>
      </c>
      <c r="Q34" s="170">
        <f t="shared" si="15"/>
        <v>-2.3943591161609268E-3</v>
      </c>
      <c r="R34" s="170">
        <f t="shared" si="13"/>
        <v>7.932077436479372E-2</v>
      </c>
      <c r="S34" s="169">
        <f>S26-SUM(S27:S33)</f>
        <v>51331</v>
      </c>
      <c r="T34" s="169">
        <f>T26-SUM(T27:T33)</f>
        <v>175956</v>
      </c>
      <c r="U34" s="169">
        <f>U26-SUM(U27:U33)</f>
        <v>194443</v>
      </c>
      <c r="V34" s="169">
        <f>V26-SUM(V27:V33)</f>
        <v>184948</v>
      </c>
      <c r="W34" s="169">
        <f>W26-SUM(W27:W33)</f>
        <v>182847</v>
      </c>
      <c r="X34" s="170">
        <f t="shared" si="16"/>
        <v>-1.1359949823734228E-2</v>
      </c>
      <c r="Y34" s="170">
        <f t="shared" si="17"/>
        <v>7.4971585364453572E-2</v>
      </c>
    </row>
    <row r="35" spans="1:25" x14ac:dyDescent="0.25">
      <c r="A35" s="57"/>
      <c r="B35" s="155" t="s">
        <v>47</v>
      </c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  <c r="O35" s="153"/>
      <c r="P35" s="153"/>
      <c r="Q35" s="153"/>
      <c r="R35" s="153"/>
      <c r="S35" s="153"/>
      <c r="T35" s="153"/>
      <c r="U35" s="153"/>
      <c r="V35" s="153"/>
      <c r="W35" s="153"/>
      <c r="X35" s="153"/>
      <c r="Y35" s="153"/>
    </row>
    <row r="36" spans="1:25" x14ac:dyDescent="0.25">
      <c r="A36" s="57"/>
      <c r="B36" s="156" t="s">
        <v>73</v>
      </c>
      <c r="C36" s="176">
        <f t="shared" ref="C36:H36" si="20">C37+C40</f>
        <v>7266</v>
      </c>
      <c r="D36" s="176">
        <f t="shared" si="20"/>
        <v>98961</v>
      </c>
      <c r="E36" s="176">
        <f t="shared" si="20"/>
        <v>115041</v>
      </c>
      <c r="F36" s="176">
        <f t="shared" si="20"/>
        <v>120109</v>
      </c>
      <c r="G36" s="176">
        <f t="shared" si="20"/>
        <v>110775</v>
      </c>
      <c r="H36" s="176">
        <f t="shared" si="20"/>
        <v>112344</v>
      </c>
      <c r="I36" s="177">
        <f>IFERROR(H36/G36-1,"-")</f>
        <v>1.4163845633039962E-2</v>
      </c>
      <c r="J36" s="177">
        <f t="shared" ref="J36:J48" si="21">H36/H$8</f>
        <v>0.25672467179305536</v>
      </c>
      <c r="K36" s="176">
        <f t="shared" ref="K36:P36" si="22">K37+K40</f>
        <v>35251</v>
      </c>
      <c r="L36" s="176">
        <f t="shared" si="22"/>
        <v>312053</v>
      </c>
      <c r="M36" s="176">
        <f t="shared" si="22"/>
        <v>346764</v>
      </c>
      <c r="N36" s="176">
        <f t="shared" si="22"/>
        <v>369017</v>
      </c>
      <c r="O36" s="176">
        <f t="shared" si="22"/>
        <v>394443</v>
      </c>
      <c r="P36" s="176">
        <f t="shared" si="22"/>
        <v>407990</v>
      </c>
      <c r="Q36" s="177">
        <f>IFERROR(P36/O36-1,"-")</f>
        <v>3.4344632811331488E-2</v>
      </c>
      <c r="R36" s="177">
        <f t="shared" ref="R36:R48" si="23">P36/P$8</f>
        <v>0.20386462857002946</v>
      </c>
      <c r="S36" s="176">
        <f>S37+S40</f>
        <v>42517</v>
      </c>
      <c r="T36" s="176">
        <f>T37+T40</f>
        <v>461805</v>
      </c>
      <c r="U36" s="176">
        <f>U37+U40</f>
        <v>489126</v>
      </c>
      <c r="V36" s="176">
        <f>V37+V40</f>
        <v>505218</v>
      </c>
      <c r="W36" s="176">
        <f>W37+W40</f>
        <v>520334</v>
      </c>
      <c r="X36" s="177">
        <f>IFERROR(W36/V36-1,"-")</f>
        <v>2.9919757411652093E-2</v>
      </c>
      <c r="Y36" s="177">
        <f>W36/W$8</f>
        <v>0.21334922038112514</v>
      </c>
    </row>
    <row r="37" spans="1:25" x14ac:dyDescent="0.25">
      <c r="A37" s="57"/>
      <c r="B37" s="159" t="s">
        <v>102</v>
      </c>
      <c r="C37" s="160">
        <v>2484</v>
      </c>
      <c r="D37" s="160">
        <v>13018</v>
      </c>
      <c r="E37" s="160">
        <v>16101</v>
      </c>
      <c r="F37" s="160">
        <v>17653</v>
      </c>
      <c r="G37" s="160">
        <v>12369</v>
      </c>
      <c r="H37" s="160">
        <v>14038</v>
      </c>
      <c r="I37" s="161">
        <f>IFERROR(H37/G37-1,"-")</f>
        <v>0.13493410946721651</v>
      </c>
      <c r="J37" s="161">
        <f t="shared" si="21"/>
        <v>3.2079158144902364E-2</v>
      </c>
      <c r="K37" s="160">
        <v>10587</v>
      </c>
      <c r="L37" s="160">
        <v>32666</v>
      </c>
      <c r="M37" s="160">
        <v>28828</v>
      </c>
      <c r="N37" s="160">
        <v>25329</v>
      </c>
      <c r="O37" s="160">
        <v>30885</v>
      </c>
      <c r="P37" s="160">
        <v>36031</v>
      </c>
      <c r="Q37" s="161">
        <f>IFERROR(P37/O37-1,"-")</f>
        <v>0.16661809940100381</v>
      </c>
      <c r="R37" s="161">
        <f t="shared" si="23"/>
        <v>1.80039864506648E-2</v>
      </c>
      <c r="S37" s="160">
        <v>13071</v>
      </c>
      <c r="T37" s="160">
        <v>44929</v>
      </c>
      <c r="U37" s="160">
        <v>42982</v>
      </c>
      <c r="V37" s="160">
        <v>43254</v>
      </c>
      <c r="W37" s="160">
        <v>50069</v>
      </c>
      <c r="X37" s="161">
        <f>IFERROR(W37/V37-1,"-")</f>
        <v>0.15755768252647151</v>
      </c>
      <c r="Y37" s="161">
        <f>W37/W$8</f>
        <v>2.0529471676389691E-2</v>
      </c>
    </row>
    <row r="38" spans="1:25" x14ac:dyDescent="0.25">
      <c r="A38" s="57"/>
      <c r="B38" s="163" t="s">
        <v>108</v>
      </c>
      <c r="C38" s="164">
        <v>2027</v>
      </c>
      <c r="D38" s="164">
        <v>6197</v>
      </c>
      <c r="E38" s="164">
        <v>8474</v>
      </c>
      <c r="F38" s="164">
        <v>12266</v>
      </c>
      <c r="G38" s="164">
        <v>7204</v>
      </c>
      <c r="H38" s="164">
        <v>7279</v>
      </c>
      <c r="I38" s="165">
        <f>IFERROR(H38/G38-1,"-")</f>
        <v>1.0410882842865066E-2</v>
      </c>
      <c r="J38" s="165">
        <f t="shared" si="21"/>
        <v>1.6633722192388112E-2</v>
      </c>
      <c r="K38" s="164">
        <v>2313</v>
      </c>
      <c r="L38" s="164">
        <v>4929</v>
      </c>
      <c r="M38" s="164">
        <v>7070</v>
      </c>
      <c r="N38" s="164">
        <v>4907</v>
      </c>
      <c r="O38" s="164">
        <v>8724</v>
      </c>
      <c r="P38" s="164">
        <v>13272</v>
      </c>
      <c r="Q38" s="165">
        <f>IFERROR(P38/O38-1,"-")</f>
        <v>0.52132049518569468</v>
      </c>
      <c r="R38" s="165">
        <f t="shared" si="23"/>
        <v>6.6317589901258144E-3</v>
      </c>
      <c r="S38" s="164">
        <v>4340</v>
      </c>
      <c r="T38" s="164">
        <v>15544</v>
      </c>
      <c r="U38" s="164">
        <v>17173</v>
      </c>
      <c r="V38" s="164">
        <v>15928</v>
      </c>
      <c r="W38" s="164">
        <v>20551</v>
      </c>
      <c r="X38" s="165">
        <f>IFERROR(W38/V38-1,"-")</f>
        <v>0.29024359618282269</v>
      </c>
      <c r="Y38" s="165">
        <f>W38/W$8</f>
        <v>8.4263950232975407E-3</v>
      </c>
    </row>
    <row r="39" spans="1:25" x14ac:dyDescent="0.25">
      <c r="A39" s="57"/>
      <c r="B39" s="163" t="s">
        <v>105</v>
      </c>
      <c r="C39" s="164">
        <v>457</v>
      </c>
      <c r="D39" s="164">
        <v>6821</v>
      </c>
      <c r="E39" s="164">
        <v>7627</v>
      </c>
      <c r="F39" s="164">
        <v>5387</v>
      </c>
      <c r="G39" s="164">
        <v>5165</v>
      </c>
      <c r="H39" s="164">
        <v>6759</v>
      </c>
      <c r="I39" s="165">
        <f>IFERROR(H39/G39-1,"-")</f>
        <v>0.30861568247821869</v>
      </c>
      <c r="J39" s="165">
        <f t="shared" si="21"/>
        <v>1.5445435952514254E-2</v>
      </c>
      <c r="K39" s="164">
        <v>8274</v>
      </c>
      <c r="L39" s="164">
        <v>27737</v>
      </c>
      <c r="M39" s="164">
        <v>21758</v>
      </c>
      <c r="N39" s="164">
        <v>20422</v>
      </c>
      <c r="O39" s="164">
        <v>22161</v>
      </c>
      <c r="P39" s="164">
        <v>22759</v>
      </c>
      <c r="Q39" s="165">
        <f>IFERROR(P39/O39-1,"-")</f>
        <v>2.6984341861829408E-2</v>
      </c>
      <c r="R39" s="165">
        <f t="shared" si="23"/>
        <v>1.1372227460538986E-2</v>
      </c>
      <c r="S39" s="164">
        <v>8731</v>
      </c>
      <c r="T39" s="164">
        <v>29385</v>
      </c>
      <c r="U39" s="164">
        <v>25809</v>
      </c>
      <c r="V39" s="164">
        <v>27326</v>
      </c>
      <c r="W39" s="164">
        <v>29518</v>
      </c>
      <c r="X39" s="165">
        <f>IFERROR(W39/V39-1,"-")</f>
        <v>8.0216643489716688E-2</v>
      </c>
      <c r="Y39" s="165">
        <f>W39/W$8</f>
        <v>1.2103076653092152E-2</v>
      </c>
    </row>
    <row r="40" spans="1:25" x14ac:dyDescent="0.25">
      <c r="A40" s="57"/>
      <c r="B40" s="159" t="s">
        <v>112</v>
      </c>
      <c r="C40" s="160">
        <v>4782</v>
      </c>
      <c r="D40" s="160">
        <v>85943</v>
      </c>
      <c r="E40" s="160">
        <v>98940</v>
      </c>
      <c r="F40" s="160">
        <v>102456</v>
      </c>
      <c r="G40" s="160">
        <v>98406</v>
      </c>
      <c r="H40" s="160">
        <v>98306</v>
      </c>
      <c r="I40" s="161">
        <f>IFERROR(H40/G40-1,"-")</f>
        <v>-1.0161981992967695E-3</v>
      </c>
      <c r="J40" s="161">
        <f t="shared" si="21"/>
        <v>0.22464551364815302</v>
      </c>
      <c r="K40" s="160">
        <v>24664</v>
      </c>
      <c r="L40" s="160">
        <v>279387</v>
      </c>
      <c r="M40" s="160">
        <v>317936</v>
      </c>
      <c r="N40" s="160">
        <v>343688</v>
      </c>
      <c r="O40" s="160">
        <v>363558</v>
      </c>
      <c r="P40" s="160">
        <v>371959</v>
      </c>
      <c r="Q40" s="161">
        <f>IFERROR(P40/O40-1,"-")</f>
        <v>2.3107729715753811E-2</v>
      </c>
      <c r="R40" s="161">
        <f t="shared" si="23"/>
        <v>0.18586064211936468</v>
      </c>
      <c r="S40" s="160">
        <v>29446</v>
      </c>
      <c r="T40" s="160">
        <v>416876</v>
      </c>
      <c r="U40" s="160">
        <v>446144</v>
      </c>
      <c r="V40" s="160">
        <v>461964</v>
      </c>
      <c r="W40" s="160">
        <v>470265</v>
      </c>
      <c r="X40" s="161">
        <f>IFERROR(W40/V40-1,"-")</f>
        <v>1.7968932644102154E-2</v>
      </c>
      <c r="Y40" s="161">
        <f>W40/W$8</f>
        <v>0.19281974870473545</v>
      </c>
    </row>
    <row r="41" spans="1:25" s="57" customFormat="1" x14ac:dyDescent="0.25">
      <c r="B41" s="163" t="s">
        <v>115</v>
      </c>
      <c r="C41" s="164">
        <v>386</v>
      </c>
      <c r="D41" s="164">
        <v>41618</v>
      </c>
      <c r="E41" s="164">
        <v>43648</v>
      </c>
      <c r="F41" s="164">
        <v>43405</v>
      </c>
      <c r="G41" s="164">
        <v>38750</v>
      </c>
      <c r="H41" s="164">
        <v>33442</v>
      </c>
      <c r="I41" s="165">
        <f t="shared" ref="I41:I48" si="24">IFERROR(H41/G41-1,"-")</f>
        <v>-0.13698064516129027</v>
      </c>
      <c r="J41" s="165">
        <f t="shared" si="21"/>
        <v>7.642051621896459E-2</v>
      </c>
      <c r="K41" s="164">
        <v>2375</v>
      </c>
      <c r="L41" s="164">
        <v>145570</v>
      </c>
      <c r="M41" s="164">
        <v>168907</v>
      </c>
      <c r="N41" s="164">
        <v>190744</v>
      </c>
      <c r="O41" s="164">
        <v>199125</v>
      </c>
      <c r="P41" s="164">
        <v>211545</v>
      </c>
      <c r="Q41" s="165">
        <f t="shared" ref="Q41:Q48" si="25">IFERROR(P41/O41-1,"-")</f>
        <v>6.2372881355932108E-2</v>
      </c>
      <c r="R41" s="165">
        <f t="shared" si="23"/>
        <v>0.10570490171535303</v>
      </c>
      <c r="S41" s="164">
        <v>2761</v>
      </c>
      <c r="T41" s="164">
        <v>212555</v>
      </c>
      <c r="U41" s="164">
        <v>234149</v>
      </c>
      <c r="V41" s="164">
        <v>237875</v>
      </c>
      <c r="W41" s="164">
        <v>244987</v>
      </c>
      <c r="X41" s="165">
        <f t="shared" ref="X41:X48" si="26">IFERROR(W41/V41-1,"-")</f>
        <v>2.9898055701523818E-2</v>
      </c>
      <c r="Y41" s="165">
        <f t="shared" ref="Y41:Y48" si="27">W41/W$8</f>
        <v>0.10045045192801298</v>
      </c>
    </row>
    <row r="42" spans="1:25" s="57" customFormat="1" x14ac:dyDescent="0.25">
      <c r="B42" s="163" t="s">
        <v>118</v>
      </c>
      <c r="C42" s="164">
        <v>165</v>
      </c>
      <c r="D42" s="164">
        <v>3842</v>
      </c>
      <c r="E42" s="164">
        <v>5925</v>
      </c>
      <c r="F42" s="164">
        <v>6311</v>
      </c>
      <c r="G42" s="164">
        <v>7042</v>
      </c>
      <c r="H42" s="164">
        <v>7091</v>
      </c>
      <c r="I42" s="165">
        <f t="shared" si="24"/>
        <v>6.958250497017815E-3</v>
      </c>
      <c r="J42" s="165">
        <f t="shared" si="21"/>
        <v>1.6204111013356795E-2</v>
      </c>
      <c r="K42" s="164">
        <v>2064</v>
      </c>
      <c r="L42" s="164">
        <v>10681</v>
      </c>
      <c r="M42" s="164">
        <v>13198</v>
      </c>
      <c r="N42" s="164">
        <v>11438</v>
      </c>
      <c r="O42" s="164">
        <v>11680</v>
      </c>
      <c r="P42" s="164">
        <v>13216</v>
      </c>
      <c r="Q42" s="165">
        <f t="shared" si="25"/>
        <v>0.1315068493150684</v>
      </c>
      <c r="R42" s="165">
        <f t="shared" si="23"/>
        <v>6.6037768846822454E-3</v>
      </c>
      <c r="S42" s="164">
        <v>2229</v>
      </c>
      <c r="T42" s="164">
        <v>19123</v>
      </c>
      <c r="U42" s="164">
        <v>17749</v>
      </c>
      <c r="V42" s="164">
        <v>18722</v>
      </c>
      <c r="W42" s="164">
        <v>20307</v>
      </c>
      <c r="X42" s="165">
        <f t="shared" si="26"/>
        <v>8.4659758572801946E-2</v>
      </c>
      <c r="Y42" s="165">
        <f t="shared" si="27"/>
        <v>8.3263492646636749E-3</v>
      </c>
    </row>
    <row r="43" spans="1:25" x14ac:dyDescent="0.25">
      <c r="A43" s="57"/>
      <c r="B43" s="163" t="s">
        <v>121</v>
      </c>
      <c r="C43" s="164">
        <v>274</v>
      </c>
      <c r="D43" s="164">
        <v>2777</v>
      </c>
      <c r="E43" s="164">
        <v>4369</v>
      </c>
      <c r="F43" s="164">
        <v>4808</v>
      </c>
      <c r="G43" s="164">
        <v>4570</v>
      </c>
      <c r="H43" s="164">
        <v>6941</v>
      </c>
      <c r="I43" s="165">
        <f t="shared" si="24"/>
        <v>0.51881838074398257</v>
      </c>
      <c r="J43" s="165">
        <f t="shared" si="21"/>
        <v>1.5861336136470103E-2</v>
      </c>
      <c r="K43" s="164">
        <v>2985</v>
      </c>
      <c r="L43" s="164">
        <v>6817</v>
      </c>
      <c r="M43" s="164">
        <v>7222</v>
      </c>
      <c r="N43" s="164">
        <v>6402</v>
      </c>
      <c r="O43" s="164">
        <v>7489</v>
      </c>
      <c r="P43" s="164">
        <v>7989</v>
      </c>
      <c r="Q43" s="165">
        <f t="shared" si="25"/>
        <v>6.6764588062491637E-2</v>
      </c>
      <c r="R43" s="165">
        <f t="shared" si="23"/>
        <v>3.9919471497977047E-3</v>
      </c>
      <c r="S43" s="164">
        <v>3259</v>
      </c>
      <c r="T43" s="164">
        <v>11591</v>
      </c>
      <c r="U43" s="164">
        <v>11210</v>
      </c>
      <c r="V43" s="164">
        <v>12059</v>
      </c>
      <c r="W43" s="164">
        <v>14930</v>
      </c>
      <c r="X43" s="165">
        <f t="shared" si="26"/>
        <v>0.23807944273986226</v>
      </c>
      <c r="Y43" s="165">
        <f t="shared" si="27"/>
        <v>6.1216523623099746E-3</v>
      </c>
    </row>
    <row r="44" spans="1:25" x14ac:dyDescent="0.25">
      <c r="A44" s="57"/>
      <c r="B44" s="163" t="s">
        <v>128</v>
      </c>
      <c r="C44" s="164">
        <v>81</v>
      </c>
      <c r="D44" s="164">
        <v>1709</v>
      </c>
      <c r="E44" s="164">
        <v>1790</v>
      </c>
      <c r="F44" s="164">
        <v>2135</v>
      </c>
      <c r="G44" s="164">
        <v>1701</v>
      </c>
      <c r="H44" s="164">
        <v>2176</v>
      </c>
      <c r="I44" s="165">
        <f t="shared" si="24"/>
        <v>0.27924750146972377</v>
      </c>
      <c r="J44" s="165">
        <f t="shared" si="21"/>
        <v>4.9725208807029171E-3</v>
      </c>
      <c r="K44" s="164">
        <v>2026</v>
      </c>
      <c r="L44" s="164">
        <v>15940</v>
      </c>
      <c r="M44" s="164">
        <v>14430</v>
      </c>
      <c r="N44" s="164">
        <v>16030</v>
      </c>
      <c r="O44" s="164">
        <v>14611</v>
      </c>
      <c r="P44" s="164">
        <v>14983</v>
      </c>
      <c r="Q44" s="165">
        <f t="shared" si="25"/>
        <v>2.546026965984538E-2</v>
      </c>
      <c r="R44" s="165">
        <f t="shared" si="23"/>
        <v>7.4867122475177125E-3</v>
      </c>
      <c r="S44" s="164">
        <v>2107</v>
      </c>
      <c r="T44" s="164">
        <v>16220</v>
      </c>
      <c r="U44" s="164">
        <v>18165</v>
      </c>
      <c r="V44" s="164">
        <v>16312</v>
      </c>
      <c r="W44" s="164">
        <v>17159</v>
      </c>
      <c r="X44" s="165">
        <f t="shared" si="26"/>
        <v>5.1924963217263365E-2</v>
      </c>
      <c r="Y44" s="165">
        <f t="shared" si="27"/>
        <v>7.0355949688464068E-3</v>
      </c>
    </row>
    <row r="45" spans="1:25" x14ac:dyDescent="0.25">
      <c r="A45" s="57"/>
      <c r="B45" s="163" t="s">
        <v>124</v>
      </c>
      <c r="C45" s="164">
        <v>75</v>
      </c>
      <c r="D45" s="164">
        <v>970</v>
      </c>
      <c r="E45" s="164">
        <v>1163</v>
      </c>
      <c r="F45" s="164">
        <v>1327</v>
      </c>
      <c r="G45" s="164">
        <v>1610</v>
      </c>
      <c r="H45" s="164">
        <v>2626</v>
      </c>
      <c r="I45" s="165">
        <f t="shared" si="24"/>
        <v>0.63105590062111805</v>
      </c>
      <c r="J45" s="165">
        <f t="shared" si="21"/>
        <v>6.000845511362987E-3</v>
      </c>
      <c r="K45" s="164">
        <v>2693</v>
      </c>
      <c r="L45" s="164">
        <v>16019</v>
      </c>
      <c r="M45" s="164">
        <v>18812</v>
      </c>
      <c r="N45" s="164">
        <v>19632</v>
      </c>
      <c r="O45" s="164">
        <v>15734</v>
      </c>
      <c r="P45" s="164">
        <v>15939</v>
      </c>
      <c r="Q45" s="165">
        <f t="shared" si="25"/>
        <v>1.3029108936062128E-2</v>
      </c>
      <c r="R45" s="165">
        <f t="shared" si="23"/>
        <v>7.9644067618757797E-3</v>
      </c>
      <c r="S45" s="164">
        <v>2768</v>
      </c>
      <c r="T45" s="164">
        <v>19975</v>
      </c>
      <c r="U45" s="164">
        <v>20959</v>
      </c>
      <c r="V45" s="164">
        <v>17344</v>
      </c>
      <c r="W45" s="164">
        <v>18565</v>
      </c>
      <c r="X45" s="165">
        <f t="shared" si="26"/>
        <v>7.039898523985233E-2</v>
      </c>
      <c r="Y45" s="165">
        <f t="shared" si="27"/>
        <v>7.612088151794017E-3</v>
      </c>
    </row>
    <row r="46" spans="1:25" x14ac:dyDescent="0.25">
      <c r="A46" s="57"/>
      <c r="B46" s="163" t="s">
        <v>133</v>
      </c>
      <c r="C46" s="164">
        <v>9</v>
      </c>
      <c r="D46" s="164">
        <v>1519</v>
      </c>
      <c r="E46" s="164">
        <v>1604</v>
      </c>
      <c r="F46" s="164">
        <v>953</v>
      </c>
      <c r="G46" s="164">
        <v>1156</v>
      </c>
      <c r="H46" s="164">
        <v>714</v>
      </c>
      <c r="I46" s="165">
        <f t="shared" si="24"/>
        <v>-0.38235294117647056</v>
      </c>
      <c r="J46" s="165">
        <f t="shared" si="21"/>
        <v>1.6316084139806446E-3</v>
      </c>
      <c r="K46" s="164">
        <v>451</v>
      </c>
      <c r="L46" s="164">
        <v>3366</v>
      </c>
      <c r="M46" s="164">
        <v>4514</v>
      </c>
      <c r="N46" s="164">
        <v>4148</v>
      </c>
      <c r="O46" s="164">
        <v>5080</v>
      </c>
      <c r="P46" s="164">
        <v>4211</v>
      </c>
      <c r="Q46" s="165">
        <f t="shared" si="25"/>
        <v>-0.1710629921259843</v>
      </c>
      <c r="R46" s="165">
        <f t="shared" si="23"/>
        <v>2.1041543932655065E-3</v>
      </c>
      <c r="S46" s="164">
        <v>460</v>
      </c>
      <c r="T46" s="164">
        <v>6118</v>
      </c>
      <c r="U46" s="164">
        <v>5101</v>
      </c>
      <c r="V46" s="164">
        <v>6236</v>
      </c>
      <c r="W46" s="164">
        <v>4925</v>
      </c>
      <c r="X46" s="165">
        <f t="shared" si="26"/>
        <v>-0.21023091725465037</v>
      </c>
      <c r="Y46" s="165">
        <f t="shared" si="27"/>
        <v>2.0193662347204704E-3</v>
      </c>
    </row>
    <row r="47" spans="1:25" x14ac:dyDescent="0.25">
      <c r="A47" s="57"/>
      <c r="B47" s="163" t="s">
        <v>136</v>
      </c>
      <c r="C47" s="164">
        <v>8</v>
      </c>
      <c r="D47" s="164">
        <v>763</v>
      </c>
      <c r="E47" s="164">
        <v>1045</v>
      </c>
      <c r="F47" s="164">
        <v>855</v>
      </c>
      <c r="G47" s="164">
        <v>747</v>
      </c>
      <c r="H47" s="164">
        <v>348</v>
      </c>
      <c r="I47" s="165">
        <f t="shared" si="24"/>
        <v>-0.53413654618473894</v>
      </c>
      <c r="J47" s="165">
        <f t="shared" si="21"/>
        <v>7.952377143771209E-4</v>
      </c>
      <c r="K47" s="164">
        <v>624</v>
      </c>
      <c r="L47" s="164">
        <v>3104</v>
      </c>
      <c r="M47" s="164">
        <v>4768</v>
      </c>
      <c r="N47" s="164">
        <v>4502</v>
      </c>
      <c r="O47" s="164">
        <v>3894</v>
      </c>
      <c r="P47" s="164">
        <v>4577</v>
      </c>
      <c r="Q47" s="165">
        <f t="shared" si="25"/>
        <v>0.1753980482794042</v>
      </c>
      <c r="R47" s="165">
        <f t="shared" si="23"/>
        <v>2.2870374395574031E-3</v>
      </c>
      <c r="S47" s="164">
        <v>632</v>
      </c>
      <c r="T47" s="164">
        <v>5813</v>
      </c>
      <c r="U47" s="164">
        <v>5357</v>
      </c>
      <c r="V47" s="164">
        <v>4641</v>
      </c>
      <c r="W47" s="164">
        <v>4925</v>
      </c>
      <c r="X47" s="165">
        <f t="shared" si="26"/>
        <v>6.1193708252531787E-2</v>
      </c>
      <c r="Y47" s="165">
        <f t="shared" si="27"/>
        <v>2.0193662347204704E-3</v>
      </c>
    </row>
    <row r="48" spans="1:25" x14ac:dyDescent="0.25">
      <c r="A48" s="57"/>
      <c r="B48" s="168" t="s">
        <v>150</v>
      </c>
      <c r="C48" s="169">
        <f t="shared" ref="C48:H48" si="28">C40-SUM(C41:C47)</f>
        <v>3784</v>
      </c>
      <c r="D48" s="169">
        <f t="shared" si="28"/>
        <v>32745</v>
      </c>
      <c r="E48" s="169">
        <f t="shared" si="28"/>
        <v>39396</v>
      </c>
      <c r="F48" s="169">
        <f t="shared" si="28"/>
        <v>42662</v>
      </c>
      <c r="G48" s="169">
        <f t="shared" si="28"/>
        <v>42830</v>
      </c>
      <c r="H48" s="169">
        <f t="shared" si="28"/>
        <v>44968</v>
      </c>
      <c r="I48" s="170">
        <f t="shared" si="24"/>
        <v>4.9918281578333001E-2</v>
      </c>
      <c r="J48" s="170">
        <f t="shared" si="21"/>
        <v>0.10275933775893785</v>
      </c>
      <c r="K48" s="169">
        <f t="shared" ref="K48:P48" si="29">K40-SUM(K41:K47)</f>
        <v>11446</v>
      </c>
      <c r="L48" s="169">
        <f t="shared" si="29"/>
        <v>77890</v>
      </c>
      <c r="M48" s="169">
        <f t="shared" si="29"/>
        <v>86085</v>
      </c>
      <c r="N48" s="169">
        <f t="shared" si="29"/>
        <v>90792</v>
      </c>
      <c r="O48" s="169">
        <f t="shared" si="29"/>
        <v>105945</v>
      </c>
      <c r="P48" s="169">
        <f t="shared" si="29"/>
        <v>99499</v>
      </c>
      <c r="Q48" s="170">
        <f t="shared" si="25"/>
        <v>-6.0842890178866349E-2</v>
      </c>
      <c r="R48" s="170">
        <f t="shared" si="23"/>
        <v>4.9717705527315283E-2</v>
      </c>
      <c r="S48" s="169">
        <f>S40-SUM(S41:S47)</f>
        <v>15230</v>
      </c>
      <c r="T48" s="169">
        <f>T40-SUM(T41:T47)</f>
        <v>125481</v>
      </c>
      <c r="U48" s="169">
        <f>U40-SUM(U41:U47)</f>
        <v>133454</v>
      </c>
      <c r="V48" s="169">
        <f>V40-SUM(V41:V47)</f>
        <v>148775</v>
      </c>
      <c r="W48" s="169">
        <f>W40-SUM(W41:W47)</f>
        <v>144467</v>
      </c>
      <c r="X48" s="170">
        <f t="shared" si="26"/>
        <v>-2.8956477902873479E-2</v>
      </c>
      <c r="Y48" s="170">
        <f t="shared" si="27"/>
        <v>5.9234879559667455E-2</v>
      </c>
    </row>
    <row r="49" spans="1:25" x14ac:dyDescent="0.25">
      <c r="A49" s="57"/>
      <c r="B49" s="155" t="s">
        <v>48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  <c r="N49" s="153"/>
      <c r="O49" s="153"/>
      <c r="P49" s="153"/>
      <c r="Q49" s="153"/>
      <c r="R49" s="153"/>
      <c r="S49" s="153"/>
      <c r="T49" s="153"/>
      <c r="U49" s="153"/>
      <c r="V49" s="153"/>
      <c r="W49" s="153"/>
      <c r="X49" s="153"/>
      <c r="Y49" s="153"/>
    </row>
    <row r="50" spans="1:25" x14ac:dyDescent="0.25">
      <c r="A50" s="57"/>
      <c r="B50" s="156" t="s">
        <v>73</v>
      </c>
      <c r="C50" s="176">
        <f t="shared" ref="C50:H50" si="30">C51+C54</f>
        <v>3463</v>
      </c>
      <c r="D50" s="176">
        <f t="shared" si="30"/>
        <v>0</v>
      </c>
      <c r="E50" s="176">
        <f t="shared" si="30"/>
        <v>0</v>
      </c>
      <c r="F50" s="176">
        <f t="shared" si="30"/>
        <v>0</v>
      </c>
      <c r="G50" s="176">
        <f t="shared" si="30"/>
        <v>0</v>
      </c>
      <c r="H50" s="176">
        <f t="shared" si="30"/>
        <v>0</v>
      </c>
      <c r="I50" s="177" t="str">
        <f>IFERROR(H50/G50-1,"-")</f>
        <v>-</v>
      </c>
      <c r="J50" s="177">
        <f t="shared" ref="J50:J62" si="31">H50/H$8</f>
        <v>0</v>
      </c>
      <c r="K50" s="176">
        <f t="shared" ref="K50:P50" si="32">K51+K54</f>
        <v>0</v>
      </c>
      <c r="L50" s="176">
        <f t="shared" si="32"/>
        <v>0</v>
      </c>
      <c r="M50" s="176">
        <f t="shared" si="32"/>
        <v>0</v>
      </c>
      <c r="N50" s="176">
        <f t="shared" si="32"/>
        <v>0</v>
      </c>
      <c r="O50" s="176">
        <f t="shared" si="32"/>
        <v>0</v>
      </c>
      <c r="P50" s="176">
        <f t="shared" si="32"/>
        <v>0</v>
      </c>
      <c r="Q50" s="177" t="str">
        <f>IFERROR(P50/O50-1,"-")</f>
        <v>-</v>
      </c>
      <c r="R50" s="177">
        <f t="shared" ref="R50:R62" si="33">P50/P$8</f>
        <v>0</v>
      </c>
      <c r="S50" s="176">
        <f>S51+S54</f>
        <v>6896</v>
      </c>
      <c r="T50" s="176">
        <f>T51+T54</f>
        <v>29935</v>
      </c>
      <c r="U50" s="176">
        <f>U51+U54</f>
        <v>26710</v>
      </c>
      <c r="V50" s="176">
        <f>V51+V54</f>
        <v>24109</v>
      </c>
      <c r="W50" s="176">
        <f>W51+W54</f>
        <v>29499</v>
      </c>
      <c r="X50" s="177">
        <f>IFERROR(W50/V50-1,"-")</f>
        <v>0.22356796217180297</v>
      </c>
      <c r="Y50" s="177">
        <f>W50/W$8</f>
        <v>1.2095286204673941E-2</v>
      </c>
    </row>
    <row r="51" spans="1:25" x14ac:dyDescent="0.25">
      <c r="A51" s="57"/>
      <c r="B51" s="159" t="s">
        <v>102</v>
      </c>
      <c r="C51" s="160">
        <v>787</v>
      </c>
      <c r="D51" s="160">
        <v>0</v>
      </c>
      <c r="E51" s="160">
        <v>0</v>
      </c>
      <c r="F51" s="160">
        <v>0</v>
      </c>
      <c r="G51" s="160">
        <v>0</v>
      </c>
      <c r="H51" s="160">
        <v>0</v>
      </c>
      <c r="I51" s="161" t="str">
        <f>IFERROR(H51/G51-1,"-")</f>
        <v>-</v>
      </c>
      <c r="J51" s="161">
        <f t="shared" si="31"/>
        <v>0</v>
      </c>
      <c r="K51" s="160">
        <v>0</v>
      </c>
      <c r="L51" s="160">
        <v>0</v>
      </c>
      <c r="M51" s="160">
        <v>0</v>
      </c>
      <c r="N51" s="160">
        <v>0</v>
      </c>
      <c r="O51" s="160">
        <v>0</v>
      </c>
      <c r="P51" s="160">
        <v>0</v>
      </c>
      <c r="Q51" s="161" t="str">
        <f>IFERROR(P51/O51-1,"-")</f>
        <v>-</v>
      </c>
      <c r="R51" s="161">
        <f t="shared" si="33"/>
        <v>0</v>
      </c>
      <c r="S51" s="160">
        <v>2321</v>
      </c>
      <c r="T51" s="160">
        <v>13358</v>
      </c>
      <c r="U51" s="160">
        <v>8079</v>
      </c>
      <c r="V51" s="160">
        <v>4759</v>
      </c>
      <c r="W51" s="160">
        <v>9992</v>
      </c>
      <c r="X51" s="161">
        <f>IFERROR(W51/V51-1,"-")</f>
        <v>1.0996007564614416</v>
      </c>
      <c r="Y51" s="161">
        <f>W51/W$8</f>
        <v>4.0969558207770438E-3</v>
      </c>
    </row>
    <row r="52" spans="1:25" x14ac:dyDescent="0.25">
      <c r="A52" s="57"/>
      <c r="B52" s="163" t="s">
        <v>108</v>
      </c>
      <c r="C52" s="164">
        <v>309</v>
      </c>
      <c r="D52" s="164">
        <v>0</v>
      </c>
      <c r="E52" s="164">
        <v>0</v>
      </c>
      <c r="F52" s="164">
        <v>0</v>
      </c>
      <c r="G52" s="164">
        <v>0</v>
      </c>
      <c r="H52" s="164">
        <v>0</v>
      </c>
      <c r="I52" s="165" t="str">
        <f>IFERROR(H52/G52-1,"-")</f>
        <v>-</v>
      </c>
      <c r="J52" s="165">
        <f t="shared" si="31"/>
        <v>0</v>
      </c>
      <c r="K52" s="164">
        <v>0</v>
      </c>
      <c r="L52" s="164">
        <v>0</v>
      </c>
      <c r="M52" s="164">
        <v>0</v>
      </c>
      <c r="N52" s="164">
        <v>0</v>
      </c>
      <c r="O52" s="164">
        <v>0</v>
      </c>
      <c r="P52" s="164">
        <v>0</v>
      </c>
      <c r="Q52" s="165" t="str">
        <f>IFERROR(P52/O52-1,"-")</f>
        <v>-</v>
      </c>
      <c r="R52" s="165">
        <f t="shared" si="33"/>
        <v>0</v>
      </c>
      <c r="S52" s="164">
        <v>1161</v>
      </c>
      <c r="T52" s="164">
        <v>10013</v>
      </c>
      <c r="U52" s="164">
        <v>5363</v>
      </c>
      <c r="V52" s="164">
        <v>2834</v>
      </c>
      <c r="W52" s="164">
        <v>4965</v>
      </c>
      <c r="X52" s="165">
        <f>IFERROR(W52/V52-1,"-")</f>
        <v>0.75194071983062805</v>
      </c>
      <c r="Y52" s="165">
        <f>W52/W$8</f>
        <v>2.0357671787588094E-3</v>
      </c>
    </row>
    <row r="53" spans="1:25" x14ac:dyDescent="0.25">
      <c r="A53" s="57"/>
      <c r="B53" s="163" t="s">
        <v>105</v>
      </c>
      <c r="C53" s="164">
        <v>478</v>
      </c>
      <c r="D53" s="164">
        <v>0</v>
      </c>
      <c r="E53" s="164">
        <v>0</v>
      </c>
      <c r="F53" s="164">
        <v>0</v>
      </c>
      <c r="G53" s="164">
        <v>0</v>
      </c>
      <c r="H53" s="164">
        <v>0</v>
      </c>
      <c r="I53" s="165" t="str">
        <f>IFERROR(H53/G53-1,"-")</f>
        <v>-</v>
      </c>
      <c r="J53" s="165">
        <f t="shared" si="31"/>
        <v>0</v>
      </c>
      <c r="K53" s="164">
        <v>0</v>
      </c>
      <c r="L53" s="164">
        <v>0</v>
      </c>
      <c r="M53" s="164">
        <v>0</v>
      </c>
      <c r="N53" s="164">
        <v>0</v>
      </c>
      <c r="O53" s="164">
        <v>0</v>
      </c>
      <c r="P53" s="164">
        <v>0</v>
      </c>
      <c r="Q53" s="165" t="str">
        <f>IFERROR(P53/O53-1,"-")</f>
        <v>-</v>
      </c>
      <c r="R53" s="165">
        <f t="shared" si="33"/>
        <v>0</v>
      </c>
      <c r="S53" s="164">
        <v>1160</v>
      </c>
      <c r="T53" s="164">
        <v>3345</v>
      </c>
      <c r="U53" s="164">
        <v>2716</v>
      </c>
      <c r="V53" s="164">
        <v>1925</v>
      </c>
      <c r="W53" s="164">
        <v>5027</v>
      </c>
      <c r="X53" s="165">
        <f>IFERROR(W53/V53-1,"-")</f>
        <v>1.6114285714285712</v>
      </c>
      <c r="Y53" s="165">
        <f>W53/W$8</f>
        <v>2.0611886420182344E-3</v>
      </c>
    </row>
    <row r="54" spans="1:25" x14ac:dyDescent="0.25">
      <c r="A54" s="57"/>
      <c r="B54" s="159" t="s">
        <v>112</v>
      </c>
      <c r="C54" s="160">
        <v>2676</v>
      </c>
      <c r="D54" s="160">
        <v>0</v>
      </c>
      <c r="E54" s="160">
        <v>0</v>
      </c>
      <c r="F54" s="160">
        <v>0</v>
      </c>
      <c r="G54" s="160">
        <v>0</v>
      </c>
      <c r="H54" s="160">
        <v>0</v>
      </c>
      <c r="I54" s="161" t="str">
        <f>IFERROR(H54/G54-1,"-")</f>
        <v>-</v>
      </c>
      <c r="J54" s="161">
        <f t="shared" si="31"/>
        <v>0</v>
      </c>
      <c r="K54" s="160">
        <v>0</v>
      </c>
      <c r="L54" s="160">
        <v>0</v>
      </c>
      <c r="M54" s="160">
        <v>0</v>
      </c>
      <c r="N54" s="160">
        <v>0</v>
      </c>
      <c r="O54" s="160">
        <v>0</v>
      </c>
      <c r="P54" s="160">
        <v>0</v>
      </c>
      <c r="Q54" s="161" t="str">
        <f>IFERROR(P54/O54-1,"-")</f>
        <v>-</v>
      </c>
      <c r="R54" s="161">
        <f t="shared" si="33"/>
        <v>0</v>
      </c>
      <c r="S54" s="160">
        <v>4575</v>
      </c>
      <c r="T54" s="160">
        <v>16577</v>
      </c>
      <c r="U54" s="160">
        <v>18631</v>
      </c>
      <c r="V54" s="160">
        <v>19350</v>
      </c>
      <c r="W54" s="160">
        <v>19507</v>
      </c>
      <c r="X54" s="161">
        <f>IFERROR(W54/V54-1,"-")</f>
        <v>8.1136950904392435E-3</v>
      </c>
      <c r="Y54" s="161">
        <f>W54/W$8</f>
        <v>7.9983303838968966E-3</v>
      </c>
    </row>
    <row r="55" spans="1:25" s="57" customFormat="1" x14ac:dyDescent="0.25">
      <c r="B55" s="163" t="s">
        <v>115</v>
      </c>
      <c r="C55" s="164">
        <v>55</v>
      </c>
      <c r="D55" s="164">
        <v>0</v>
      </c>
      <c r="E55" s="164">
        <v>0</v>
      </c>
      <c r="F55" s="164">
        <v>0</v>
      </c>
      <c r="G55" s="164">
        <v>0</v>
      </c>
      <c r="H55" s="164">
        <v>0</v>
      </c>
      <c r="I55" s="165" t="str">
        <f t="shared" ref="I55:I62" si="34">IFERROR(H55/G55-1,"-")</f>
        <v>-</v>
      </c>
      <c r="J55" s="165">
        <f t="shared" si="31"/>
        <v>0</v>
      </c>
      <c r="K55" s="164">
        <v>0</v>
      </c>
      <c r="L55" s="164">
        <v>0</v>
      </c>
      <c r="M55" s="164">
        <v>0</v>
      </c>
      <c r="N55" s="164">
        <v>0</v>
      </c>
      <c r="O55" s="164">
        <v>0</v>
      </c>
      <c r="P55" s="164">
        <v>0</v>
      </c>
      <c r="Q55" s="165" t="str">
        <f t="shared" ref="Q55:Q62" si="35">IFERROR(P55/O55-1,"-")</f>
        <v>-</v>
      </c>
      <c r="R55" s="165">
        <f t="shared" si="33"/>
        <v>0</v>
      </c>
      <c r="S55" s="164">
        <v>148</v>
      </c>
      <c r="T55" s="164">
        <v>5224</v>
      </c>
      <c r="U55" s="164">
        <v>6377</v>
      </c>
      <c r="V55" s="164">
        <v>6935</v>
      </c>
      <c r="W55" s="164">
        <v>5287</v>
      </c>
      <c r="X55" s="165">
        <f t="shared" ref="X55:X62" si="36">IFERROR(W55/V55-1,"-")</f>
        <v>-0.23763518385003601</v>
      </c>
      <c r="Y55" s="165">
        <f t="shared" ref="Y55:Y62" si="37">W55/W$8</f>
        <v>2.1677947782674373E-3</v>
      </c>
    </row>
    <row r="56" spans="1:25" s="57" customFormat="1" x14ac:dyDescent="0.25">
      <c r="B56" s="163" t="s">
        <v>118</v>
      </c>
      <c r="C56" s="164">
        <v>1007</v>
      </c>
      <c r="D56" s="164">
        <v>0</v>
      </c>
      <c r="E56" s="164">
        <v>0</v>
      </c>
      <c r="F56" s="164">
        <v>0</v>
      </c>
      <c r="G56" s="164">
        <v>0</v>
      </c>
      <c r="H56" s="164">
        <v>0</v>
      </c>
      <c r="I56" s="165" t="str">
        <f t="shared" si="34"/>
        <v>-</v>
      </c>
      <c r="J56" s="165">
        <f t="shared" si="31"/>
        <v>0</v>
      </c>
      <c r="K56" s="164">
        <v>0</v>
      </c>
      <c r="L56" s="164">
        <v>0</v>
      </c>
      <c r="M56" s="164">
        <v>0</v>
      </c>
      <c r="N56" s="164">
        <v>0</v>
      </c>
      <c r="O56" s="164">
        <v>0</v>
      </c>
      <c r="P56" s="164">
        <v>0</v>
      </c>
      <c r="Q56" s="165" t="str">
        <f t="shared" si="35"/>
        <v>-</v>
      </c>
      <c r="R56" s="165">
        <f t="shared" si="33"/>
        <v>0</v>
      </c>
      <c r="S56" s="164">
        <v>1674</v>
      </c>
      <c r="T56" s="164">
        <v>2863</v>
      </c>
      <c r="U56" s="164">
        <v>3406</v>
      </c>
      <c r="V56" s="164">
        <v>3773</v>
      </c>
      <c r="W56" s="164">
        <v>4138</v>
      </c>
      <c r="X56" s="165">
        <f t="shared" si="36"/>
        <v>9.6739994699178267E-2</v>
      </c>
      <c r="Y56" s="165">
        <f t="shared" si="37"/>
        <v>1.6966776607661538E-3</v>
      </c>
    </row>
    <row r="57" spans="1:25" x14ac:dyDescent="0.25">
      <c r="A57" s="57"/>
      <c r="B57" s="163" t="s">
        <v>121</v>
      </c>
      <c r="C57" s="164">
        <v>446</v>
      </c>
      <c r="D57" s="164">
        <v>0</v>
      </c>
      <c r="E57" s="164">
        <v>0</v>
      </c>
      <c r="F57" s="164">
        <v>0</v>
      </c>
      <c r="G57" s="164">
        <v>0</v>
      </c>
      <c r="H57" s="164">
        <v>0</v>
      </c>
      <c r="I57" s="165" t="str">
        <f t="shared" si="34"/>
        <v>-</v>
      </c>
      <c r="J57" s="165">
        <f t="shared" si="31"/>
        <v>0</v>
      </c>
      <c r="K57" s="164">
        <v>0</v>
      </c>
      <c r="L57" s="164">
        <v>0</v>
      </c>
      <c r="M57" s="164">
        <v>0</v>
      </c>
      <c r="N57" s="164">
        <v>0</v>
      </c>
      <c r="O57" s="164">
        <v>0</v>
      </c>
      <c r="P57" s="164">
        <v>0</v>
      </c>
      <c r="Q57" s="165" t="str">
        <f t="shared" si="35"/>
        <v>-</v>
      </c>
      <c r="R57" s="165">
        <f t="shared" si="33"/>
        <v>0</v>
      </c>
      <c r="S57" s="164">
        <v>722</v>
      </c>
      <c r="T57" s="164">
        <v>1711</v>
      </c>
      <c r="U57" s="164">
        <v>1474</v>
      </c>
      <c r="V57" s="164">
        <v>1368</v>
      </c>
      <c r="W57" s="164">
        <v>2173</v>
      </c>
      <c r="X57" s="165">
        <f t="shared" si="36"/>
        <v>0.58845029239766089</v>
      </c>
      <c r="Y57" s="165">
        <f t="shared" si="37"/>
        <v>8.909812848827579E-4</v>
      </c>
    </row>
    <row r="58" spans="1:25" x14ac:dyDescent="0.25">
      <c r="A58" s="57"/>
      <c r="B58" s="163" t="s">
        <v>128</v>
      </c>
      <c r="C58" s="164">
        <v>55</v>
      </c>
      <c r="D58" s="164">
        <v>0</v>
      </c>
      <c r="E58" s="164">
        <v>0</v>
      </c>
      <c r="F58" s="164">
        <v>0</v>
      </c>
      <c r="G58" s="164">
        <v>0</v>
      </c>
      <c r="H58" s="164">
        <v>0</v>
      </c>
      <c r="I58" s="165" t="str">
        <f t="shared" si="34"/>
        <v>-</v>
      </c>
      <c r="J58" s="165">
        <f t="shared" si="31"/>
        <v>0</v>
      </c>
      <c r="K58" s="164">
        <v>0</v>
      </c>
      <c r="L58" s="164">
        <v>0</v>
      </c>
      <c r="M58" s="164">
        <v>0</v>
      </c>
      <c r="N58" s="164">
        <v>0</v>
      </c>
      <c r="O58" s="164">
        <v>0</v>
      </c>
      <c r="P58" s="164">
        <v>0</v>
      </c>
      <c r="Q58" s="165" t="str">
        <f t="shared" si="35"/>
        <v>-</v>
      </c>
      <c r="R58" s="165">
        <f t="shared" si="33"/>
        <v>0</v>
      </c>
      <c r="S58" s="164">
        <v>109</v>
      </c>
      <c r="T58" s="164">
        <v>384</v>
      </c>
      <c r="U58" s="164">
        <v>551</v>
      </c>
      <c r="V58" s="164">
        <v>568</v>
      </c>
      <c r="W58" s="164">
        <v>847</v>
      </c>
      <c r="X58" s="165">
        <f t="shared" si="36"/>
        <v>0.49119718309859151</v>
      </c>
      <c r="Y58" s="165">
        <f t="shared" si="37"/>
        <v>3.472899900118251E-4</v>
      </c>
    </row>
    <row r="59" spans="1:25" x14ac:dyDescent="0.25">
      <c r="A59" s="57"/>
      <c r="B59" s="163" t="s">
        <v>124</v>
      </c>
      <c r="C59" s="164">
        <v>80</v>
      </c>
      <c r="D59" s="164">
        <v>0</v>
      </c>
      <c r="E59" s="164">
        <v>0</v>
      </c>
      <c r="F59" s="164">
        <v>0</v>
      </c>
      <c r="G59" s="164">
        <v>0</v>
      </c>
      <c r="H59" s="164">
        <v>0</v>
      </c>
      <c r="I59" s="165" t="str">
        <f t="shared" si="34"/>
        <v>-</v>
      </c>
      <c r="J59" s="165">
        <f t="shared" si="31"/>
        <v>0</v>
      </c>
      <c r="K59" s="164">
        <v>0</v>
      </c>
      <c r="L59" s="164">
        <v>0</v>
      </c>
      <c r="M59" s="164">
        <v>0</v>
      </c>
      <c r="N59" s="164">
        <v>0</v>
      </c>
      <c r="O59" s="164">
        <v>0</v>
      </c>
      <c r="P59" s="164">
        <v>0</v>
      </c>
      <c r="Q59" s="165" t="str">
        <f t="shared" si="35"/>
        <v>-</v>
      </c>
      <c r="R59" s="165">
        <f t="shared" si="33"/>
        <v>0</v>
      </c>
      <c r="S59" s="164">
        <v>164</v>
      </c>
      <c r="T59" s="164">
        <v>372</v>
      </c>
      <c r="U59" s="164">
        <v>329</v>
      </c>
      <c r="V59" s="164">
        <v>535</v>
      </c>
      <c r="W59" s="164">
        <v>512</v>
      </c>
      <c r="X59" s="165">
        <f t="shared" si="36"/>
        <v>-4.2990654205607437E-2</v>
      </c>
      <c r="Y59" s="165">
        <f t="shared" si="37"/>
        <v>2.0993208369073725E-4</v>
      </c>
    </row>
    <row r="60" spans="1:25" x14ac:dyDescent="0.25">
      <c r="A60" s="57"/>
      <c r="B60" s="163" t="s">
        <v>133</v>
      </c>
      <c r="C60" s="164">
        <v>22</v>
      </c>
      <c r="D60" s="164">
        <v>0</v>
      </c>
      <c r="E60" s="164">
        <v>0</v>
      </c>
      <c r="F60" s="164">
        <v>0</v>
      </c>
      <c r="G60" s="164">
        <v>0</v>
      </c>
      <c r="H60" s="164">
        <v>0</v>
      </c>
      <c r="I60" s="165" t="str">
        <f t="shared" si="34"/>
        <v>-</v>
      </c>
      <c r="J60" s="165">
        <f t="shared" si="31"/>
        <v>0</v>
      </c>
      <c r="K60" s="164">
        <v>0</v>
      </c>
      <c r="L60" s="164">
        <v>0</v>
      </c>
      <c r="M60" s="164">
        <v>0</v>
      </c>
      <c r="N60" s="164">
        <v>0</v>
      </c>
      <c r="O60" s="164">
        <v>0</v>
      </c>
      <c r="P60" s="164">
        <v>0</v>
      </c>
      <c r="Q60" s="165" t="str">
        <f t="shared" si="35"/>
        <v>-</v>
      </c>
      <c r="R60" s="165">
        <f t="shared" si="33"/>
        <v>0</v>
      </c>
      <c r="S60" s="164">
        <v>39</v>
      </c>
      <c r="T60" s="164">
        <v>154</v>
      </c>
      <c r="U60" s="164">
        <v>88</v>
      </c>
      <c r="V60" s="164">
        <v>170</v>
      </c>
      <c r="W60" s="164">
        <v>120</v>
      </c>
      <c r="X60" s="165">
        <f t="shared" si="36"/>
        <v>-0.29411764705882348</v>
      </c>
      <c r="Y60" s="165">
        <f t="shared" si="37"/>
        <v>4.9202832115016541E-5</v>
      </c>
    </row>
    <row r="61" spans="1:25" x14ac:dyDescent="0.25">
      <c r="A61" s="57"/>
      <c r="B61" s="163" t="s">
        <v>136</v>
      </c>
      <c r="C61" s="164">
        <v>14</v>
      </c>
      <c r="D61" s="164">
        <v>0</v>
      </c>
      <c r="E61" s="164">
        <v>0</v>
      </c>
      <c r="F61" s="164">
        <v>0</v>
      </c>
      <c r="G61" s="164">
        <v>0</v>
      </c>
      <c r="H61" s="164">
        <v>0</v>
      </c>
      <c r="I61" s="165" t="str">
        <f t="shared" si="34"/>
        <v>-</v>
      </c>
      <c r="J61" s="165">
        <f t="shared" si="31"/>
        <v>0</v>
      </c>
      <c r="K61" s="164">
        <v>0</v>
      </c>
      <c r="L61" s="164">
        <v>0</v>
      </c>
      <c r="M61" s="164">
        <v>0</v>
      </c>
      <c r="N61" s="164">
        <v>0</v>
      </c>
      <c r="O61" s="164">
        <v>0</v>
      </c>
      <c r="P61" s="164">
        <v>0</v>
      </c>
      <c r="Q61" s="165" t="str">
        <f t="shared" si="35"/>
        <v>-</v>
      </c>
      <c r="R61" s="165">
        <f t="shared" si="33"/>
        <v>0</v>
      </c>
      <c r="S61" s="164">
        <v>17</v>
      </c>
      <c r="T61" s="164">
        <v>138</v>
      </c>
      <c r="U61" s="164">
        <v>88</v>
      </c>
      <c r="V61" s="164">
        <v>415</v>
      </c>
      <c r="W61" s="164">
        <v>123</v>
      </c>
      <c r="X61" s="165">
        <f t="shared" si="36"/>
        <v>-0.70361445783132526</v>
      </c>
      <c r="Y61" s="165">
        <f t="shared" si="37"/>
        <v>5.0432902917891951E-5</v>
      </c>
    </row>
    <row r="62" spans="1:25" x14ac:dyDescent="0.25">
      <c r="A62" s="57"/>
      <c r="B62" s="168" t="s">
        <v>150</v>
      </c>
      <c r="C62" s="169">
        <f t="shared" ref="C62:H62" si="38">C54-SUM(C55:C61)</f>
        <v>997</v>
      </c>
      <c r="D62" s="169">
        <f t="shared" si="38"/>
        <v>0</v>
      </c>
      <c r="E62" s="169">
        <f t="shared" si="38"/>
        <v>0</v>
      </c>
      <c r="F62" s="169">
        <f t="shared" si="38"/>
        <v>0</v>
      </c>
      <c r="G62" s="169">
        <f t="shared" si="38"/>
        <v>0</v>
      </c>
      <c r="H62" s="169">
        <f t="shared" si="38"/>
        <v>0</v>
      </c>
      <c r="I62" s="170" t="str">
        <f t="shared" si="34"/>
        <v>-</v>
      </c>
      <c r="J62" s="170">
        <f t="shared" si="31"/>
        <v>0</v>
      </c>
      <c r="K62" s="169">
        <f t="shared" ref="K62:P62" si="39">K54-SUM(K55:K61)</f>
        <v>0</v>
      </c>
      <c r="L62" s="169">
        <f t="shared" si="39"/>
        <v>0</v>
      </c>
      <c r="M62" s="169">
        <f t="shared" si="39"/>
        <v>0</v>
      </c>
      <c r="N62" s="169">
        <f t="shared" si="39"/>
        <v>0</v>
      </c>
      <c r="O62" s="169">
        <f t="shared" si="39"/>
        <v>0</v>
      </c>
      <c r="P62" s="169">
        <f t="shared" si="39"/>
        <v>0</v>
      </c>
      <c r="Q62" s="170" t="str">
        <f t="shared" si="35"/>
        <v>-</v>
      </c>
      <c r="R62" s="170">
        <f t="shared" si="33"/>
        <v>0</v>
      </c>
      <c r="S62" s="169">
        <f>S54-SUM(S55:S61)</f>
        <v>1702</v>
      </c>
      <c r="T62" s="169">
        <f>T54-SUM(T55:T61)</f>
        <v>5731</v>
      </c>
      <c r="U62" s="169">
        <f>U54-SUM(U55:U61)</f>
        <v>6318</v>
      </c>
      <c r="V62" s="169">
        <f>V54-SUM(V55:V61)</f>
        <v>5586</v>
      </c>
      <c r="W62" s="169">
        <f>W54-SUM(W55:W61)</f>
        <v>6307</v>
      </c>
      <c r="X62" s="170">
        <f t="shared" si="36"/>
        <v>0.12907268170426067</v>
      </c>
      <c r="Y62" s="170">
        <f t="shared" si="37"/>
        <v>2.5860188512450777E-3</v>
      </c>
    </row>
    <row r="63" spans="1:25" x14ac:dyDescent="0.25">
      <c r="A63" s="57"/>
      <c r="B63" s="155" t="s">
        <v>49</v>
      </c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  <c r="N63" s="153"/>
      <c r="O63" s="153"/>
      <c r="P63" s="153"/>
      <c r="Q63" s="153"/>
      <c r="R63" s="153"/>
      <c r="S63" s="153"/>
      <c r="T63" s="153"/>
      <c r="U63" s="153"/>
      <c r="V63" s="153"/>
      <c r="W63" s="153"/>
      <c r="X63" s="153"/>
      <c r="Y63" s="153"/>
    </row>
    <row r="64" spans="1:25" x14ac:dyDescent="0.25">
      <c r="A64" s="57"/>
      <c r="B64" s="156" t="s">
        <v>73</v>
      </c>
      <c r="C64" s="176">
        <f t="shared" ref="C64:H64" si="40">C65+C68</f>
        <v>0</v>
      </c>
      <c r="D64" s="176">
        <f t="shared" si="40"/>
        <v>0</v>
      </c>
      <c r="E64" s="176">
        <f t="shared" si="40"/>
        <v>0</v>
      </c>
      <c r="F64" s="176">
        <f t="shared" si="40"/>
        <v>0</v>
      </c>
      <c r="G64" s="176">
        <f t="shared" si="40"/>
        <v>0</v>
      </c>
      <c r="H64" s="176">
        <f t="shared" si="40"/>
        <v>0</v>
      </c>
      <c r="I64" s="177" t="str">
        <f>IFERROR(H64/G64-1,"-")</f>
        <v>-</v>
      </c>
      <c r="J64" s="177">
        <f t="shared" ref="J64:J76" si="41">H64/H$8</f>
        <v>0</v>
      </c>
      <c r="K64" s="176">
        <f t="shared" ref="K64:P64" si="42">K65+K68</f>
        <v>18908</v>
      </c>
      <c r="L64" s="176">
        <f t="shared" si="42"/>
        <v>0</v>
      </c>
      <c r="M64" s="176">
        <f t="shared" si="42"/>
        <v>30811</v>
      </c>
      <c r="N64" s="176">
        <f t="shared" si="42"/>
        <v>0</v>
      </c>
      <c r="O64" s="176">
        <f t="shared" si="42"/>
        <v>0</v>
      </c>
      <c r="P64" s="176">
        <f t="shared" si="42"/>
        <v>0</v>
      </c>
      <c r="Q64" s="177" t="str">
        <f>IFERROR(P64/O64-1,"-")</f>
        <v>-</v>
      </c>
      <c r="R64" s="177">
        <f t="shared" ref="R64:R76" si="43">P64/P$8</f>
        <v>0</v>
      </c>
      <c r="S64" s="176">
        <f>S65+S68</f>
        <v>18908</v>
      </c>
      <c r="T64" s="176">
        <f>T65+T68</f>
        <v>98742</v>
      </c>
      <c r="U64" s="176">
        <f>U65+U68</f>
        <v>110305</v>
      </c>
      <c r="V64" s="176">
        <f>V65+V68</f>
        <v>89955</v>
      </c>
      <c r="W64" s="176">
        <f>W65+W68</f>
        <v>91550</v>
      </c>
      <c r="X64" s="177">
        <f>IFERROR(W64/V64-1,"-")</f>
        <v>1.7731087766105214E-2</v>
      </c>
      <c r="Y64" s="177">
        <f>W64/W$8</f>
        <v>3.7537660667748038E-2</v>
      </c>
    </row>
    <row r="65" spans="1:25" x14ac:dyDescent="0.25">
      <c r="A65" s="57"/>
      <c r="B65" s="159" t="s">
        <v>102</v>
      </c>
      <c r="C65" s="160">
        <v>0</v>
      </c>
      <c r="D65" s="160">
        <v>0</v>
      </c>
      <c r="E65" s="160">
        <v>0</v>
      </c>
      <c r="F65" s="160">
        <v>0</v>
      </c>
      <c r="G65" s="160">
        <v>0</v>
      </c>
      <c r="H65" s="160">
        <v>0</v>
      </c>
      <c r="I65" s="161" t="str">
        <f>IFERROR(H65/G65-1,"-")</f>
        <v>-</v>
      </c>
      <c r="J65" s="161">
        <f t="shared" si="41"/>
        <v>0</v>
      </c>
      <c r="K65" s="160">
        <v>10843</v>
      </c>
      <c r="L65" s="160">
        <v>0</v>
      </c>
      <c r="M65" s="160">
        <v>16955</v>
      </c>
      <c r="N65" s="160">
        <v>0</v>
      </c>
      <c r="O65" s="160">
        <v>0</v>
      </c>
      <c r="P65" s="160">
        <v>0</v>
      </c>
      <c r="Q65" s="161" t="str">
        <f>IFERROR(P65/O65-1,"-")</f>
        <v>-</v>
      </c>
      <c r="R65" s="161">
        <f t="shared" si="43"/>
        <v>0</v>
      </c>
      <c r="S65" s="160">
        <v>10843</v>
      </c>
      <c r="T65" s="160">
        <v>23526</v>
      </c>
      <c r="U65" s="160">
        <v>31284</v>
      </c>
      <c r="V65" s="160">
        <v>24581</v>
      </c>
      <c r="W65" s="160">
        <v>25415</v>
      </c>
      <c r="X65" s="161">
        <f>IFERROR(W65/V65-1,"-")</f>
        <v>3.3928644074691761E-2</v>
      </c>
      <c r="Y65" s="161">
        <f>W65/W$8</f>
        <v>1.0420749818359545E-2</v>
      </c>
    </row>
    <row r="66" spans="1:25" x14ac:dyDescent="0.25">
      <c r="A66" s="57"/>
      <c r="B66" s="163" t="s">
        <v>108</v>
      </c>
      <c r="C66" s="164">
        <v>0</v>
      </c>
      <c r="D66" s="164">
        <v>0</v>
      </c>
      <c r="E66" s="164">
        <v>0</v>
      </c>
      <c r="F66" s="164">
        <v>0</v>
      </c>
      <c r="G66" s="164">
        <v>0</v>
      </c>
      <c r="H66" s="164">
        <v>0</v>
      </c>
      <c r="I66" s="165" t="str">
        <f>IFERROR(H66/G66-1,"-")</f>
        <v>-</v>
      </c>
      <c r="J66" s="165">
        <f t="shared" si="41"/>
        <v>0</v>
      </c>
      <c r="K66" s="164">
        <v>10492</v>
      </c>
      <c r="L66" s="164">
        <v>0</v>
      </c>
      <c r="M66" s="164">
        <v>13670</v>
      </c>
      <c r="N66" s="164">
        <v>0</v>
      </c>
      <c r="O66" s="164">
        <v>0</v>
      </c>
      <c r="P66" s="164">
        <v>0</v>
      </c>
      <c r="Q66" s="165" t="str">
        <f>IFERROR(P66/O66-1,"-")</f>
        <v>-</v>
      </c>
      <c r="R66" s="165">
        <f t="shared" si="43"/>
        <v>0</v>
      </c>
      <c r="S66" s="164">
        <v>10492</v>
      </c>
      <c r="T66" s="164">
        <v>18084</v>
      </c>
      <c r="U66" s="164">
        <v>18174</v>
      </c>
      <c r="V66" s="164">
        <v>9049</v>
      </c>
      <c r="W66" s="164">
        <v>11937</v>
      </c>
      <c r="X66" s="165">
        <f>IFERROR(W66/V66-1,"-")</f>
        <v>0.3191512874350757</v>
      </c>
      <c r="Y66" s="165">
        <f>W66/W$8</f>
        <v>4.8944517246412708E-3</v>
      </c>
    </row>
    <row r="67" spans="1:25" x14ac:dyDescent="0.25">
      <c r="A67" s="57"/>
      <c r="B67" s="163" t="s">
        <v>105</v>
      </c>
      <c r="C67" s="164">
        <v>0</v>
      </c>
      <c r="D67" s="164">
        <v>0</v>
      </c>
      <c r="E67" s="164">
        <v>0</v>
      </c>
      <c r="F67" s="164">
        <v>0</v>
      </c>
      <c r="G67" s="164">
        <v>0</v>
      </c>
      <c r="H67" s="164">
        <v>0</v>
      </c>
      <c r="I67" s="165" t="str">
        <f>IFERROR(H67/G67-1,"-")</f>
        <v>-</v>
      </c>
      <c r="J67" s="165">
        <f t="shared" si="41"/>
        <v>0</v>
      </c>
      <c r="K67" s="164">
        <v>351</v>
      </c>
      <c r="L67" s="164">
        <v>0</v>
      </c>
      <c r="M67" s="164">
        <v>3285</v>
      </c>
      <c r="N67" s="164">
        <v>0</v>
      </c>
      <c r="O67" s="164">
        <v>0</v>
      </c>
      <c r="P67" s="164">
        <v>0</v>
      </c>
      <c r="Q67" s="165" t="str">
        <f>IFERROR(P67/O67-1,"-")</f>
        <v>-</v>
      </c>
      <c r="R67" s="165">
        <f t="shared" si="43"/>
        <v>0</v>
      </c>
      <c r="S67" s="164">
        <v>351</v>
      </c>
      <c r="T67" s="164">
        <v>5442</v>
      </c>
      <c r="U67" s="164">
        <v>13110</v>
      </c>
      <c r="V67" s="164">
        <v>15532</v>
      </c>
      <c r="W67" s="164">
        <v>13478</v>
      </c>
      <c r="X67" s="165">
        <f>IFERROR(W67/V67-1,"-")</f>
        <v>-0.13224311099665209</v>
      </c>
      <c r="Y67" s="165">
        <f>W67/W$8</f>
        <v>5.5262980937182743E-3</v>
      </c>
    </row>
    <row r="68" spans="1:25" x14ac:dyDescent="0.25">
      <c r="A68" s="57"/>
      <c r="B68" s="159" t="s">
        <v>112</v>
      </c>
      <c r="C68" s="160">
        <v>0</v>
      </c>
      <c r="D68" s="160">
        <v>0</v>
      </c>
      <c r="E68" s="160">
        <v>0</v>
      </c>
      <c r="F68" s="160">
        <v>0</v>
      </c>
      <c r="G68" s="160">
        <v>0</v>
      </c>
      <c r="H68" s="160">
        <v>0</v>
      </c>
      <c r="I68" s="161" t="str">
        <f>IFERROR(H68/G68-1,"-")</f>
        <v>-</v>
      </c>
      <c r="J68" s="161">
        <f t="shared" si="41"/>
        <v>0</v>
      </c>
      <c r="K68" s="160">
        <v>8065</v>
      </c>
      <c r="L68" s="160">
        <v>0</v>
      </c>
      <c r="M68" s="160">
        <v>13856</v>
      </c>
      <c r="N68" s="160">
        <v>0</v>
      </c>
      <c r="O68" s="160">
        <v>0</v>
      </c>
      <c r="P68" s="160">
        <v>0</v>
      </c>
      <c r="Q68" s="161" t="str">
        <f>IFERROR(P68/O68-1,"-")</f>
        <v>-</v>
      </c>
      <c r="R68" s="161">
        <f t="shared" si="43"/>
        <v>0</v>
      </c>
      <c r="S68" s="160">
        <v>8065</v>
      </c>
      <c r="T68" s="160">
        <v>75216</v>
      </c>
      <c r="U68" s="160">
        <v>79021</v>
      </c>
      <c r="V68" s="160">
        <v>65374</v>
      </c>
      <c r="W68" s="160">
        <v>66135</v>
      </c>
      <c r="X68" s="161">
        <f>IFERROR(W68/V68-1,"-")</f>
        <v>1.1640713433475058E-2</v>
      </c>
      <c r="Y68" s="161">
        <f>W68/W$8</f>
        <v>2.7116910849388491E-2</v>
      </c>
    </row>
    <row r="69" spans="1:25" s="57" customFormat="1" x14ac:dyDescent="0.25">
      <c r="B69" s="163" t="s">
        <v>115</v>
      </c>
      <c r="C69" s="164">
        <v>0</v>
      </c>
      <c r="D69" s="164">
        <v>0</v>
      </c>
      <c r="E69" s="164">
        <v>0</v>
      </c>
      <c r="F69" s="164">
        <v>0</v>
      </c>
      <c r="G69" s="164">
        <v>0</v>
      </c>
      <c r="H69" s="164">
        <v>0</v>
      </c>
      <c r="I69" s="165" t="str">
        <f t="shared" ref="I69:I76" si="44">IFERROR(H69/G69-1,"-")</f>
        <v>-</v>
      </c>
      <c r="J69" s="165">
        <f t="shared" si="41"/>
        <v>0</v>
      </c>
      <c r="K69" s="164">
        <v>869</v>
      </c>
      <c r="L69" s="164">
        <v>0</v>
      </c>
      <c r="M69" s="164">
        <v>5498</v>
      </c>
      <c r="N69" s="164">
        <v>0</v>
      </c>
      <c r="O69" s="164">
        <v>0</v>
      </c>
      <c r="P69" s="164">
        <v>0</v>
      </c>
      <c r="Q69" s="165" t="str">
        <f t="shared" ref="Q69:Q76" si="45">IFERROR(P69/O69-1,"-")</f>
        <v>-</v>
      </c>
      <c r="R69" s="165">
        <f t="shared" si="43"/>
        <v>0</v>
      </c>
      <c r="S69" s="164">
        <v>869</v>
      </c>
      <c r="T69" s="164">
        <v>28015</v>
      </c>
      <c r="U69" s="164">
        <v>26510</v>
      </c>
      <c r="V69" s="164">
        <v>27977</v>
      </c>
      <c r="W69" s="164">
        <v>30483</v>
      </c>
      <c r="X69" s="165">
        <f t="shared" ref="X69:X76" si="46">IFERROR(W69/V69-1,"-")</f>
        <v>8.9573578296457734E-2</v>
      </c>
      <c r="Y69" s="165">
        <f t="shared" ref="Y69:Y76" si="47">W69/W$8</f>
        <v>1.2498749428017077E-2</v>
      </c>
    </row>
    <row r="70" spans="1:25" s="57" customFormat="1" x14ac:dyDescent="0.25">
      <c r="B70" s="163" t="s">
        <v>118</v>
      </c>
      <c r="C70" s="164">
        <v>0</v>
      </c>
      <c r="D70" s="164">
        <v>0</v>
      </c>
      <c r="E70" s="164">
        <v>0</v>
      </c>
      <c r="F70" s="164">
        <v>0</v>
      </c>
      <c r="G70" s="164">
        <v>0</v>
      </c>
      <c r="H70" s="164">
        <v>0</v>
      </c>
      <c r="I70" s="165" t="str">
        <f t="shared" si="44"/>
        <v>-</v>
      </c>
      <c r="J70" s="165">
        <f t="shared" si="41"/>
        <v>0</v>
      </c>
      <c r="K70" s="164">
        <v>1213</v>
      </c>
      <c r="L70" s="164">
        <v>0</v>
      </c>
      <c r="M70" s="164">
        <v>2564</v>
      </c>
      <c r="N70" s="164">
        <v>0</v>
      </c>
      <c r="O70" s="164">
        <v>0</v>
      </c>
      <c r="P70" s="164">
        <v>0</v>
      </c>
      <c r="Q70" s="165" t="str">
        <f t="shared" si="45"/>
        <v>-</v>
      </c>
      <c r="R70" s="165">
        <f t="shared" si="43"/>
        <v>0</v>
      </c>
      <c r="S70" s="164">
        <v>1213</v>
      </c>
      <c r="T70" s="164">
        <v>6032</v>
      </c>
      <c r="U70" s="164">
        <v>5749</v>
      </c>
      <c r="V70" s="164">
        <v>6004</v>
      </c>
      <c r="W70" s="164">
        <v>5414</v>
      </c>
      <c r="X70" s="165">
        <f t="shared" si="46"/>
        <v>-9.8267821452365123E-2</v>
      </c>
      <c r="Y70" s="165">
        <f t="shared" si="47"/>
        <v>2.2198677755891627E-3</v>
      </c>
    </row>
    <row r="71" spans="1:25" x14ac:dyDescent="0.25">
      <c r="A71" s="57"/>
      <c r="B71" s="163" t="s">
        <v>121</v>
      </c>
      <c r="C71" s="164">
        <v>0</v>
      </c>
      <c r="D71" s="164">
        <v>0</v>
      </c>
      <c r="E71" s="164">
        <v>0</v>
      </c>
      <c r="F71" s="164">
        <v>0</v>
      </c>
      <c r="G71" s="164">
        <v>0</v>
      </c>
      <c r="H71" s="164">
        <v>0</v>
      </c>
      <c r="I71" s="165" t="str">
        <f t="shared" si="44"/>
        <v>-</v>
      </c>
      <c r="J71" s="165">
        <f t="shared" si="41"/>
        <v>0</v>
      </c>
      <c r="K71" s="164">
        <v>1335</v>
      </c>
      <c r="L71" s="164">
        <v>0</v>
      </c>
      <c r="M71" s="164">
        <v>685</v>
      </c>
      <c r="N71" s="164">
        <v>0</v>
      </c>
      <c r="O71" s="164">
        <v>0</v>
      </c>
      <c r="P71" s="164">
        <v>0</v>
      </c>
      <c r="Q71" s="165" t="str">
        <f t="shared" si="45"/>
        <v>-</v>
      </c>
      <c r="R71" s="165">
        <f t="shared" si="43"/>
        <v>0</v>
      </c>
      <c r="S71" s="164">
        <v>1335</v>
      </c>
      <c r="T71" s="164">
        <v>8795</v>
      </c>
      <c r="U71" s="164">
        <v>10964</v>
      </c>
      <c r="V71" s="164">
        <v>5823</v>
      </c>
      <c r="W71" s="164">
        <v>5228</v>
      </c>
      <c r="X71" s="165">
        <f t="shared" si="46"/>
        <v>-0.10218100635411298</v>
      </c>
      <c r="Y71" s="165">
        <f t="shared" si="47"/>
        <v>2.1436033858108871E-3</v>
      </c>
    </row>
    <row r="72" spans="1:25" x14ac:dyDescent="0.25">
      <c r="A72" s="57"/>
      <c r="B72" s="163" t="s">
        <v>128</v>
      </c>
      <c r="C72" s="164">
        <v>0</v>
      </c>
      <c r="D72" s="164">
        <v>0</v>
      </c>
      <c r="E72" s="164">
        <v>0</v>
      </c>
      <c r="F72" s="164">
        <v>0</v>
      </c>
      <c r="G72" s="164">
        <v>0</v>
      </c>
      <c r="H72" s="164">
        <v>0</v>
      </c>
      <c r="I72" s="165" t="str">
        <f t="shared" si="44"/>
        <v>-</v>
      </c>
      <c r="J72" s="165">
        <f t="shared" si="41"/>
        <v>0</v>
      </c>
      <c r="K72" s="164">
        <v>415</v>
      </c>
      <c r="L72" s="164">
        <v>0</v>
      </c>
      <c r="M72" s="164">
        <v>449</v>
      </c>
      <c r="N72" s="164">
        <v>0</v>
      </c>
      <c r="O72" s="164">
        <v>0</v>
      </c>
      <c r="P72" s="164">
        <v>0</v>
      </c>
      <c r="Q72" s="165" t="str">
        <f t="shared" si="45"/>
        <v>-</v>
      </c>
      <c r="R72" s="165">
        <f t="shared" si="43"/>
        <v>0</v>
      </c>
      <c r="S72" s="164">
        <v>415</v>
      </c>
      <c r="T72" s="164">
        <v>2013</v>
      </c>
      <c r="U72" s="164">
        <v>2589</v>
      </c>
      <c r="V72" s="164">
        <v>1590</v>
      </c>
      <c r="W72" s="164">
        <v>1837</v>
      </c>
      <c r="X72" s="165">
        <f t="shared" si="46"/>
        <v>0.15534591194968561</v>
      </c>
      <c r="Y72" s="165">
        <f t="shared" si="47"/>
        <v>7.5321335496071151E-4</v>
      </c>
    </row>
    <row r="73" spans="1:25" x14ac:dyDescent="0.25">
      <c r="A73" s="57"/>
      <c r="B73" s="163" t="s">
        <v>124</v>
      </c>
      <c r="C73" s="164">
        <v>0</v>
      </c>
      <c r="D73" s="164">
        <v>0</v>
      </c>
      <c r="E73" s="164">
        <v>0</v>
      </c>
      <c r="F73" s="164">
        <v>0</v>
      </c>
      <c r="G73" s="164">
        <v>0</v>
      </c>
      <c r="H73" s="164">
        <v>0</v>
      </c>
      <c r="I73" s="165" t="str">
        <f t="shared" si="44"/>
        <v>-</v>
      </c>
      <c r="J73" s="165">
        <f t="shared" si="41"/>
        <v>0</v>
      </c>
      <c r="K73" s="164">
        <v>436</v>
      </c>
      <c r="L73" s="164">
        <v>0</v>
      </c>
      <c r="M73" s="164">
        <v>189</v>
      </c>
      <c r="N73" s="164">
        <v>0</v>
      </c>
      <c r="O73" s="164">
        <v>0</v>
      </c>
      <c r="P73" s="164">
        <v>0</v>
      </c>
      <c r="Q73" s="165" t="str">
        <f t="shared" si="45"/>
        <v>-</v>
      </c>
      <c r="R73" s="165">
        <f t="shared" si="43"/>
        <v>0</v>
      </c>
      <c r="S73" s="164">
        <v>436</v>
      </c>
      <c r="T73" s="164">
        <v>1370</v>
      </c>
      <c r="U73" s="164">
        <v>2185</v>
      </c>
      <c r="V73" s="164">
        <v>1749</v>
      </c>
      <c r="W73" s="164">
        <v>1523</v>
      </c>
      <c r="X73" s="165">
        <f t="shared" si="46"/>
        <v>-0.12921669525443114</v>
      </c>
      <c r="Y73" s="165">
        <f t="shared" si="47"/>
        <v>6.244659442597516E-4</v>
      </c>
    </row>
    <row r="74" spans="1:25" x14ac:dyDescent="0.25">
      <c r="A74" s="57"/>
      <c r="B74" s="163" t="s">
        <v>133</v>
      </c>
      <c r="C74" s="164">
        <v>0</v>
      </c>
      <c r="D74" s="164">
        <v>0</v>
      </c>
      <c r="E74" s="164">
        <v>0</v>
      </c>
      <c r="F74" s="164">
        <v>0</v>
      </c>
      <c r="G74" s="164">
        <v>0</v>
      </c>
      <c r="H74" s="164">
        <v>0</v>
      </c>
      <c r="I74" s="165" t="str">
        <f t="shared" si="44"/>
        <v>-</v>
      </c>
      <c r="J74" s="165">
        <f t="shared" si="41"/>
        <v>0</v>
      </c>
      <c r="K74" s="164">
        <v>0</v>
      </c>
      <c r="L74" s="164">
        <v>0</v>
      </c>
      <c r="M74" s="164">
        <v>4</v>
      </c>
      <c r="N74" s="164">
        <v>0</v>
      </c>
      <c r="O74" s="164">
        <v>0</v>
      </c>
      <c r="P74" s="164">
        <v>0</v>
      </c>
      <c r="Q74" s="165" t="str">
        <f t="shared" si="45"/>
        <v>-</v>
      </c>
      <c r="R74" s="165">
        <f t="shared" si="43"/>
        <v>0</v>
      </c>
      <c r="S74" s="164">
        <v>0</v>
      </c>
      <c r="T74" s="164">
        <v>3184</v>
      </c>
      <c r="U74" s="164">
        <v>1641</v>
      </c>
      <c r="V74" s="164">
        <v>823</v>
      </c>
      <c r="W74" s="164">
        <v>503</v>
      </c>
      <c r="X74" s="165">
        <f t="shared" si="46"/>
        <v>-0.3888213851761847</v>
      </c>
      <c r="Y74" s="165">
        <f t="shared" si="47"/>
        <v>2.0624187128211099E-4</v>
      </c>
    </row>
    <row r="75" spans="1:25" x14ac:dyDescent="0.25">
      <c r="A75" s="57"/>
      <c r="B75" s="163" t="s">
        <v>136</v>
      </c>
      <c r="C75" s="164">
        <v>0</v>
      </c>
      <c r="D75" s="164">
        <v>0</v>
      </c>
      <c r="E75" s="164">
        <v>0</v>
      </c>
      <c r="F75" s="164">
        <v>0</v>
      </c>
      <c r="G75" s="164">
        <v>0</v>
      </c>
      <c r="H75" s="164">
        <v>0</v>
      </c>
      <c r="I75" s="165" t="str">
        <f t="shared" si="44"/>
        <v>-</v>
      </c>
      <c r="J75" s="165">
        <f t="shared" si="41"/>
        <v>0</v>
      </c>
      <c r="K75" s="164">
        <v>0</v>
      </c>
      <c r="L75" s="164">
        <v>0</v>
      </c>
      <c r="M75" s="164">
        <v>6</v>
      </c>
      <c r="N75" s="164">
        <v>0</v>
      </c>
      <c r="O75" s="164">
        <v>0</v>
      </c>
      <c r="P75" s="164">
        <v>0</v>
      </c>
      <c r="Q75" s="165" t="str">
        <f t="shared" si="45"/>
        <v>-</v>
      </c>
      <c r="R75" s="165">
        <f t="shared" si="43"/>
        <v>0</v>
      </c>
      <c r="S75" s="164">
        <v>0</v>
      </c>
      <c r="T75" s="164">
        <v>910</v>
      </c>
      <c r="U75" s="164">
        <v>203</v>
      </c>
      <c r="V75" s="164">
        <v>523</v>
      </c>
      <c r="W75" s="164">
        <v>677</v>
      </c>
      <c r="X75" s="165">
        <f t="shared" si="46"/>
        <v>0.29445506692160617</v>
      </c>
      <c r="Y75" s="165">
        <f t="shared" si="47"/>
        <v>2.7758597784888499E-4</v>
      </c>
    </row>
    <row r="76" spans="1:25" x14ac:dyDescent="0.25">
      <c r="A76" s="57"/>
      <c r="B76" s="168" t="s">
        <v>150</v>
      </c>
      <c r="C76" s="169">
        <f t="shared" ref="C76:H76" si="48">C68-SUM(C69:C75)</f>
        <v>0</v>
      </c>
      <c r="D76" s="169">
        <f t="shared" si="48"/>
        <v>0</v>
      </c>
      <c r="E76" s="169">
        <f t="shared" si="48"/>
        <v>0</v>
      </c>
      <c r="F76" s="169">
        <f t="shared" si="48"/>
        <v>0</v>
      </c>
      <c r="G76" s="169">
        <f t="shared" si="48"/>
        <v>0</v>
      </c>
      <c r="H76" s="169">
        <f t="shared" si="48"/>
        <v>0</v>
      </c>
      <c r="I76" s="170" t="str">
        <f t="shared" si="44"/>
        <v>-</v>
      </c>
      <c r="J76" s="170">
        <f t="shared" si="41"/>
        <v>0</v>
      </c>
      <c r="K76" s="169">
        <f t="shared" ref="K76:P76" si="49">K68-SUM(K69:K75)</f>
        <v>3797</v>
      </c>
      <c r="L76" s="169">
        <f t="shared" si="49"/>
        <v>0</v>
      </c>
      <c r="M76" s="169">
        <f t="shared" si="49"/>
        <v>4461</v>
      </c>
      <c r="N76" s="169">
        <f t="shared" si="49"/>
        <v>0</v>
      </c>
      <c r="O76" s="169">
        <f t="shared" si="49"/>
        <v>0</v>
      </c>
      <c r="P76" s="169">
        <f t="shared" si="49"/>
        <v>0</v>
      </c>
      <c r="Q76" s="170" t="str">
        <f t="shared" si="45"/>
        <v>-</v>
      </c>
      <c r="R76" s="170">
        <f t="shared" si="43"/>
        <v>0</v>
      </c>
      <c r="S76" s="169">
        <f>S68-SUM(S69:S75)</f>
        <v>3797</v>
      </c>
      <c r="T76" s="169">
        <f>T68-SUM(T69:T75)</f>
        <v>24897</v>
      </c>
      <c r="U76" s="169">
        <f>U68-SUM(U69:U75)</f>
        <v>29180</v>
      </c>
      <c r="V76" s="169">
        <f>V68-SUM(V69:V75)</f>
        <v>20885</v>
      </c>
      <c r="W76" s="169">
        <f>W68-SUM(W69:W75)</f>
        <v>20470</v>
      </c>
      <c r="X76" s="170">
        <f t="shared" si="46"/>
        <v>-1.9870720612880088E-2</v>
      </c>
      <c r="Y76" s="170">
        <f t="shared" si="47"/>
        <v>8.3931831116199045E-3</v>
      </c>
    </row>
    <row r="77" spans="1:25" x14ac:dyDescent="0.25">
      <c r="A77" s="57"/>
      <c r="B77" s="155" t="s">
        <v>50</v>
      </c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153"/>
      <c r="N77" s="153"/>
      <c r="O77" s="153"/>
      <c r="P77" s="153"/>
      <c r="Q77" s="153"/>
      <c r="R77" s="153"/>
      <c r="S77" s="153"/>
      <c r="T77" s="153"/>
      <c r="U77" s="153"/>
      <c r="V77" s="153"/>
      <c r="W77" s="153"/>
      <c r="X77" s="153"/>
      <c r="Y77" s="153"/>
    </row>
    <row r="78" spans="1:25" x14ac:dyDescent="0.25">
      <c r="A78" s="57"/>
      <c r="B78" s="156" t="s">
        <v>73</v>
      </c>
      <c r="C78" s="176">
        <f t="shared" ref="C78:H78" si="50">C79+C82</f>
        <v>26780</v>
      </c>
      <c r="D78" s="176">
        <f t="shared" si="50"/>
        <v>59520</v>
      </c>
      <c r="E78" s="176">
        <f t="shared" si="50"/>
        <v>61434</v>
      </c>
      <c r="F78" s="176">
        <f t="shared" si="50"/>
        <v>67712</v>
      </c>
      <c r="G78" s="176">
        <f t="shared" si="50"/>
        <v>73175</v>
      </c>
      <c r="H78" s="176">
        <f t="shared" si="50"/>
        <v>71820</v>
      </c>
      <c r="I78" s="177">
        <f>IFERROR(H78/G78-1,"-")</f>
        <v>-1.8517253160232339E-2</v>
      </c>
      <c r="J78" s="177">
        <f t="shared" ref="J78:J90" si="51">H78/H$8</f>
        <v>0.16412061105334719</v>
      </c>
      <c r="K78" s="176">
        <f t="shared" ref="K78:P78" si="52">K79+K82</f>
        <v>58520</v>
      </c>
      <c r="L78" s="176">
        <f t="shared" si="52"/>
        <v>259864</v>
      </c>
      <c r="M78" s="176">
        <f t="shared" si="52"/>
        <v>308795</v>
      </c>
      <c r="N78" s="176">
        <f t="shared" si="52"/>
        <v>358799</v>
      </c>
      <c r="O78" s="176">
        <f t="shared" si="52"/>
        <v>352298</v>
      </c>
      <c r="P78" s="176">
        <f t="shared" si="52"/>
        <v>345436</v>
      </c>
      <c r="Q78" s="177">
        <f>IFERROR(P78/O78-1,"-")</f>
        <v>-1.9477828429341093E-2</v>
      </c>
      <c r="R78" s="177">
        <f t="shared" ref="R78:R90" si="53">P78/P$8</f>
        <v>0.17260761742865438</v>
      </c>
      <c r="S78" s="176">
        <f>S79+S82</f>
        <v>85300</v>
      </c>
      <c r="T78" s="176">
        <f>T79+T82</f>
        <v>370229</v>
      </c>
      <c r="U78" s="176">
        <f>U79+U82</f>
        <v>426511</v>
      </c>
      <c r="V78" s="176">
        <f>V79+V82</f>
        <v>425473</v>
      </c>
      <c r="W78" s="176">
        <f>W79+W82</f>
        <v>417256</v>
      </c>
      <c r="X78" s="177">
        <f>IFERROR(W78/V78-1,"-")</f>
        <v>-1.931262383276966E-2</v>
      </c>
      <c r="Y78" s="177">
        <f>W78/W$8</f>
        <v>0.17108480764152784</v>
      </c>
    </row>
    <row r="79" spans="1:25" x14ac:dyDescent="0.25">
      <c r="A79" s="57"/>
      <c r="B79" s="159" t="s">
        <v>102</v>
      </c>
      <c r="C79" s="160">
        <v>16360</v>
      </c>
      <c r="D79" s="160">
        <v>30091</v>
      </c>
      <c r="E79" s="160">
        <v>31261</v>
      </c>
      <c r="F79" s="160">
        <v>33107</v>
      </c>
      <c r="G79" s="160">
        <v>37517</v>
      </c>
      <c r="H79" s="160">
        <v>38643</v>
      </c>
      <c r="I79" s="161">
        <f>IFERROR(H79/G79-1,"-")</f>
        <v>3.001306074579535E-2</v>
      </c>
      <c r="J79" s="161">
        <f t="shared" si="51"/>
        <v>8.8305663783549093E-2</v>
      </c>
      <c r="K79" s="160">
        <v>35198</v>
      </c>
      <c r="L79" s="160">
        <v>129957</v>
      </c>
      <c r="M79" s="160">
        <v>137150</v>
      </c>
      <c r="N79" s="160">
        <v>141882</v>
      </c>
      <c r="O79" s="160">
        <v>140835</v>
      </c>
      <c r="P79" s="160">
        <v>145321</v>
      </c>
      <c r="Q79" s="161">
        <f>IFERROR(P79/O79-1,"-")</f>
        <v>3.1852877480739838E-2</v>
      </c>
      <c r="R79" s="161">
        <f t="shared" si="53"/>
        <v>7.2614063306515486E-2</v>
      </c>
      <c r="S79" s="160">
        <v>51558</v>
      </c>
      <c r="T79" s="160">
        <v>168411</v>
      </c>
      <c r="U79" s="160">
        <v>174989</v>
      </c>
      <c r="V79" s="160">
        <v>178352</v>
      </c>
      <c r="W79" s="160">
        <v>183964</v>
      </c>
      <c r="X79" s="161">
        <f>IFERROR(W79/V79-1,"-")</f>
        <v>3.1465865255225545E-2</v>
      </c>
      <c r="Y79" s="161">
        <f>W79/W$8</f>
        <v>7.542958172672419E-2</v>
      </c>
    </row>
    <row r="80" spans="1:25" x14ac:dyDescent="0.25">
      <c r="A80" s="57"/>
      <c r="B80" s="163" t="s">
        <v>108</v>
      </c>
      <c r="C80" s="164">
        <v>10915</v>
      </c>
      <c r="D80" s="164">
        <v>18500</v>
      </c>
      <c r="E80" s="164">
        <v>20351</v>
      </c>
      <c r="F80" s="164">
        <v>18034</v>
      </c>
      <c r="G80" s="164">
        <v>18689</v>
      </c>
      <c r="H80" s="164">
        <v>21780</v>
      </c>
      <c r="I80" s="165">
        <f>IFERROR(H80/G80-1,"-")</f>
        <v>0.16539140670982921</v>
      </c>
      <c r="J80" s="165">
        <f t="shared" si="51"/>
        <v>4.9770912123947395E-2</v>
      </c>
      <c r="K80" s="164">
        <v>8494</v>
      </c>
      <c r="L80" s="164">
        <v>21026</v>
      </c>
      <c r="M80" s="164">
        <v>15544</v>
      </c>
      <c r="N80" s="164">
        <v>26201</v>
      </c>
      <c r="O80" s="164">
        <v>20280</v>
      </c>
      <c r="P80" s="164">
        <v>30563</v>
      </c>
      <c r="Q80" s="165">
        <f>IFERROR(P80/O80-1,"-")</f>
        <v>0.50705128205128203</v>
      </c>
      <c r="R80" s="165">
        <f t="shared" si="53"/>
        <v>1.5271733726282042E-2</v>
      </c>
      <c r="S80" s="164">
        <v>19409</v>
      </c>
      <c r="T80" s="164">
        <v>35895</v>
      </c>
      <c r="U80" s="164">
        <v>44235</v>
      </c>
      <c r="V80" s="164">
        <v>38969</v>
      </c>
      <c r="W80" s="164">
        <v>52343</v>
      </c>
      <c r="X80" s="165">
        <f>IFERROR(W80/V80-1,"-")</f>
        <v>0.34319587364315218</v>
      </c>
      <c r="Y80" s="165">
        <f>W80/W$8</f>
        <v>2.1461865344969258E-2</v>
      </c>
    </row>
    <row r="81" spans="1:25" x14ac:dyDescent="0.25">
      <c r="A81" s="57"/>
      <c r="B81" s="163" t="s">
        <v>105</v>
      </c>
      <c r="C81" s="164">
        <v>5445</v>
      </c>
      <c r="D81" s="164">
        <v>11591</v>
      </c>
      <c r="E81" s="164">
        <v>10910</v>
      </c>
      <c r="F81" s="164">
        <v>15073</v>
      </c>
      <c r="G81" s="164">
        <v>18828</v>
      </c>
      <c r="H81" s="164">
        <v>16863</v>
      </c>
      <c r="I81" s="165">
        <f>IFERROR(H81/G81-1,"-")</f>
        <v>-0.10436583811344802</v>
      </c>
      <c r="J81" s="165">
        <f t="shared" si="51"/>
        <v>3.8534751659601699E-2</v>
      </c>
      <c r="K81" s="164">
        <v>26704</v>
      </c>
      <c r="L81" s="164">
        <v>108931</v>
      </c>
      <c r="M81" s="164">
        <v>121606</v>
      </c>
      <c r="N81" s="164">
        <v>115681</v>
      </c>
      <c r="O81" s="164">
        <v>120555</v>
      </c>
      <c r="P81" s="164">
        <v>114758</v>
      </c>
      <c r="Q81" s="165">
        <f>IFERROR(P81/O81-1,"-")</f>
        <v>-4.8085935879888853E-2</v>
      </c>
      <c r="R81" s="165">
        <f t="shared" si="53"/>
        <v>5.7342329580233442E-2</v>
      </c>
      <c r="S81" s="164">
        <v>32149</v>
      </c>
      <c r="T81" s="164">
        <v>132516</v>
      </c>
      <c r="U81" s="164">
        <v>130754</v>
      </c>
      <c r="V81" s="164">
        <v>139383</v>
      </c>
      <c r="W81" s="164">
        <v>131621</v>
      </c>
      <c r="X81" s="165">
        <f>IFERROR(W81/V81-1,"-")</f>
        <v>-5.5688283363107383E-2</v>
      </c>
      <c r="Y81" s="165">
        <f>W81/W$8</f>
        <v>5.3967716381754932E-2</v>
      </c>
    </row>
    <row r="82" spans="1:25" x14ac:dyDescent="0.25">
      <c r="A82" s="57"/>
      <c r="B82" s="159" t="s">
        <v>112</v>
      </c>
      <c r="C82" s="160">
        <v>10420</v>
      </c>
      <c r="D82" s="160">
        <v>29429</v>
      </c>
      <c r="E82" s="160">
        <v>30173</v>
      </c>
      <c r="F82" s="160">
        <v>34605</v>
      </c>
      <c r="G82" s="160">
        <v>35658</v>
      </c>
      <c r="H82" s="160">
        <v>33177</v>
      </c>
      <c r="I82" s="161">
        <f>IFERROR(H82/G82-1,"-")</f>
        <v>-6.9577654383308096E-2</v>
      </c>
      <c r="J82" s="161">
        <f t="shared" si="51"/>
        <v>7.5814947269798108E-2</v>
      </c>
      <c r="K82" s="160">
        <v>23322</v>
      </c>
      <c r="L82" s="160">
        <v>129907</v>
      </c>
      <c r="M82" s="160">
        <v>171645</v>
      </c>
      <c r="N82" s="160">
        <v>216917</v>
      </c>
      <c r="O82" s="160">
        <v>211463</v>
      </c>
      <c r="P82" s="160">
        <v>200115</v>
      </c>
      <c r="Q82" s="161">
        <f>IFERROR(P82/O82-1,"-")</f>
        <v>-5.3664234405073175E-2</v>
      </c>
      <c r="R82" s="161">
        <f t="shared" si="53"/>
        <v>9.9993554122138895E-2</v>
      </c>
      <c r="S82" s="160">
        <v>33742</v>
      </c>
      <c r="T82" s="160">
        <v>201818</v>
      </c>
      <c r="U82" s="160">
        <v>251522</v>
      </c>
      <c r="V82" s="160">
        <v>247121</v>
      </c>
      <c r="W82" s="160">
        <v>233292</v>
      </c>
      <c r="X82" s="161">
        <f>IFERROR(W82/V82-1,"-")</f>
        <v>-5.5960440432015091E-2</v>
      </c>
      <c r="Y82" s="161">
        <f>W82/W$8</f>
        <v>9.565522591480366E-2</v>
      </c>
    </row>
    <row r="83" spans="1:25" s="57" customFormat="1" x14ac:dyDescent="0.25">
      <c r="B83" s="163" t="s">
        <v>115</v>
      </c>
      <c r="C83" s="164">
        <v>1317</v>
      </c>
      <c r="D83" s="164">
        <v>3123</v>
      </c>
      <c r="E83" s="164">
        <v>4058</v>
      </c>
      <c r="F83" s="164">
        <v>4998</v>
      </c>
      <c r="G83" s="164">
        <v>5030</v>
      </c>
      <c r="H83" s="164">
        <v>4476</v>
      </c>
      <c r="I83" s="165">
        <f t="shared" ref="I83:I90" si="54">IFERROR(H83/G83-1,"-")</f>
        <v>-0.11013916500994037</v>
      </c>
      <c r="J83" s="165">
        <f t="shared" si="51"/>
        <v>1.0228402326298831E-2</v>
      </c>
      <c r="K83" s="164">
        <v>1201</v>
      </c>
      <c r="L83" s="164">
        <v>29342</v>
      </c>
      <c r="M83" s="164">
        <v>39045</v>
      </c>
      <c r="N83" s="164">
        <v>48634</v>
      </c>
      <c r="O83" s="164">
        <v>51460</v>
      </c>
      <c r="P83" s="164">
        <v>48848</v>
      </c>
      <c r="Q83" s="165">
        <f t="shared" ref="Q83:Q90" si="55">IFERROR(P83/O83-1,"-")</f>
        <v>-5.0757870190439203E-2</v>
      </c>
      <c r="R83" s="165">
        <f t="shared" si="53"/>
        <v>2.4408390834061617E-2</v>
      </c>
      <c r="S83" s="164">
        <v>2518</v>
      </c>
      <c r="T83" s="164">
        <v>43103</v>
      </c>
      <c r="U83" s="164">
        <v>53632</v>
      </c>
      <c r="V83" s="164">
        <v>56490</v>
      </c>
      <c r="W83" s="164">
        <v>53324</v>
      </c>
      <c r="X83" s="165">
        <f t="shared" ref="X83:X90" si="56">IFERROR(W83/V83-1,"-")</f>
        <v>-5.6045317755354929E-2</v>
      </c>
      <c r="Y83" s="165">
        <f t="shared" ref="Y83:Y90" si="57">W83/W$8</f>
        <v>2.1864098497509518E-2</v>
      </c>
    </row>
    <row r="84" spans="1:25" s="57" customFormat="1" x14ac:dyDescent="0.25">
      <c r="B84" s="163" t="s">
        <v>118</v>
      </c>
      <c r="C84" s="164">
        <v>2148</v>
      </c>
      <c r="D84" s="164">
        <v>7408</v>
      </c>
      <c r="E84" s="164">
        <v>8385</v>
      </c>
      <c r="F84" s="164">
        <v>8668</v>
      </c>
      <c r="G84" s="164">
        <v>8232</v>
      </c>
      <c r="H84" s="164">
        <v>6820</v>
      </c>
      <c r="I84" s="165">
        <f t="shared" si="54"/>
        <v>-0.17152575315840624</v>
      </c>
      <c r="J84" s="165">
        <f t="shared" si="51"/>
        <v>1.5584831069114841E-2</v>
      </c>
      <c r="K84" s="164">
        <v>5339</v>
      </c>
      <c r="L84" s="164">
        <v>44573</v>
      </c>
      <c r="M84" s="164">
        <v>54532</v>
      </c>
      <c r="N84" s="164">
        <v>62901</v>
      </c>
      <c r="O84" s="164">
        <v>59714</v>
      </c>
      <c r="P84" s="164">
        <v>53745</v>
      </c>
      <c r="Q84" s="165">
        <f t="shared" si="55"/>
        <v>-9.9959808420135965E-2</v>
      </c>
      <c r="R84" s="165">
        <f t="shared" si="53"/>
        <v>2.6855326019010844E-2</v>
      </c>
      <c r="S84" s="164">
        <v>7487</v>
      </c>
      <c r="T84" s="164">
        <v>62917</v>
      </c>
      <c r="U84" s="164">
        <v>71569</v>
      </c>
      <c r="V84" s="164">
        <v>67946</v>
      </c>
      <c r="W84" s="164">
        <v>60565</v>
      </c>
      <c r="X84" s="165">
        <f t="shared" si="56"/>
        <v>-0.10863038295116711</v>
      </c>
      <c r="Y84" s="165">
        <f t="shared" si="57"/>
        <v>2.4833079392049807E-2</v>
      </c>
    </row>
    <row r="85" spans="1:25" x14ac:dyDescent="0.25">
      <c r="A85" s="57"/>
      <c r="B85" s="163" t="s">
        <v>121</v>
      </c>
      <c r="C85" s="164">
        <v>2539</v>
      </c>
      <c r="D85" s="164">
        <v>3664</v>
      </c>
      <c r="E85" s="164">
        <v>3427</v>
      </c>
      <c r="F85" s="164">
        <v>3485</v>
      </c>
      <c r="G85" s="164">
        <v>3600</v>
      </c>
      <c r="H85" s="164">
        <v>3630</v>
      </c>
      <c r="I85" s="165">
        <f t="shared" si="54"/>
        <v>8.3333333333333037E-3</v>
      </c>
      <c r="J85" s="165">
        <f t="shared" si="51"/>
        <v>8.2951520206578991E-3</v>
      </c>
      <c r="K85" s="164">
        <v>3622</v>
      </c>
      <c r="L85" s="164">
        <v>11214</v>
      </c>
      <c r="M85" s="164">
        <v>16343</v>
      </c>
      <c r="N85" s="164">
        <v>27598</v>
      </c>
      <c r="O85" s="164">
        <v>24102</v>
      </c>
      <c r="P85" s="164">
        <v>23843</v>
      </c>
      <c r="Q85" s="165">
        <f t="shared" si="55"/>
        <v>-1.0745996182889406E-2</v>
      </c>
      <c r="R85" s="165">
        <f t="shared" si="53"/>
        <v>1.1913881073053783E-2</v>
      </c>
      <c r="S85" s="164">
        <v>6161</v>
      </c>
      <c r="T85" s="164">
        <v>19770</v>
      </c>
      <c r="U85" s="164">
        <v>31083</v>
      </c>
      <c r="V85" s="164">
        <v>27702</v>
      </c>
      <c r="W85" s="164">
        <v>27473</v>
      </c>
      <c r="X85" s="165">
        <f t="shared" si="56"/>
        <v>-8.2665511515414014E-3</v>
      </c>
      <c r="Y85" s="165">
        <f t="shared" si="57"/>
        <v>1.1264578389132078E-2</v>
      </c>
    </row>
    <row r="86" spans="1:25" x14ac:dyDescent="0.25">
      <c r="A86" s="57"/>
      <c r="B86" s="163" t="s">
        <v>128</v>
      </c>
      <c r="C86" s="164">
        <v>137</v>
      </c>
      <c r="D86" s="164">
        <v>743</v>
      </c>
      <c r="E86" s="164">
        <v>646</v>
      </c>
      <c r="F86" s="164">
        <v>844</v>
      </c>
      <c r="G86" s="164">
        <v>845</v>
      </c>
      <c r="H86" s="164">
        <v>816</v>
      </c>
      <c r="I86" s="165">
        <f t="shared" si="54"/>
        <v>-3.4319526627218933E-2</v>
      </c>
      <c r="J86" s="165">
        <f t="shared" si="51"/>
        <v>1.8646953302635938E-3</v>
      </c>
      <c r="K86" s="164">
        <v>565</v>
      </c>
      <c r="L86" s="164">
        <v>2492</v>
      </c>
      <c r="M86" s="164">
        <v>2967</v>
      </c>
      <c r="N86" s="164">
        <v>5921</v>
      </c>
      <c r="O86" s="164">
        <v>6087</v>
      </c>
      <c r="P86" s="164">
        <v>5590</v>
      </c>
      <c r="Q86" s="165">
        <f t="shared" si="55"/>
        <v>-8.1649416789880025E-2</v>
      </c>
      <c r="R86" s="165">
        <f t="shared" si="53"/>
        <v>2.7932137398133895E-3</v>
      </c>
      <c r="S86" s="164">
        <v>702</v>
      </c>
      <c r="T86" s="164">
        <v>3613</v>
      </c>
      <c r="U86" s="164">
        <v>6765</v>
      </c>
      <c r="V86" s="164">
        <v>6932</v>
      </c>
      <c r="W86" s="164">
        <v>6406</v>
      </c>
      <c r="X86" s="165">
        <f t="shared" si="56"/>
        <v>-7.5879976918638237E-2</v>
      </c>
      <c r="Y86" s="165">
        <f t="shared" si="57"/>
        <v>2.6266111877399664E-3</v>
      </c>
    </row>
    <row r="87" spans="1:25" x14ac:dyDescent="0.25">
      <c r="A87" s="57"/>
      <c r="B87" s="163" t="s">
        <v>124</v>
      </c>
      <c r="C87" s="164">
        <v>230</v>
      </c>
      <c r="D87" s="164">
        <v>550</v>
      </c>
      <c r="E87" s="164">
        <v>429</v>
      </c>
      <c r="F87" s="164">
        <v>434</v>
      </c>
      <c r="G87" s="164">
        <v>466</v>
      </c>
      <c r="H87" s="164">
        <v>604</v>
      </c>
      <c r="I87" s="165">
        <f t="shared" si="54"/>
        <v>0.29613733905579398</v>
      </c>
      <c r="J87" s="165">
        <f t="shared" si="51"/>
        <v>1.3802401709304053E-3</v>
      </c>
      <c r="K87" s="164">
        <v>710</v>
      </c>
      <c r="L87" s="164">
        <v>2378</v>
      </c>
      <c r="M87" s="164">
        <v>2860</v>
      </c>
      <c r="N87" s="164">
        <v>3934</v>
      </c>
      <c r="O87" s="164">
        <v>3821</v>
      </c>
      <c r="P87" s="164">
        <v>4488</v>
      </c>
      <c r="Q87" s="165">
        <f t="shared" si="55"/>
        <v>0.17456163308034545</v>
      </c>
      <c r="R87" s="165">
        <f t="shared" si="53"/>
        <v>2.2425658791203028E-3</v>
      </c>
      <c r="S87" s="164">
        <v>940</v>
      </c>
      <c r="T87" s="164">
        <v>3289</v>
      </c>
      <c r="U87" s="164">
        <v>4368</v>
      </c>
      <c r="V87" s="164">
        <v>4287</v>
      </c>
      <c r="W87" s="164">
        <v>5092</v>
      </c>
      <c r="X87" s="165">
        <f t="shared" si="56"/>
        <v>0.18777700023326327</v>
      </c>
      <c r="Y87" s="165">
        <f t="shared" si="57"/>
        <v>2.0878401760805352E-3</v>
      </c>
    </row>
    <row r="88" spans="1:25" x14ac:dyDescent="0.25">
      <c r="A88" s="57"/>
      <c r="B88" s="163" t="s">
        <v>133</v>
      </c>
      <c r="C88" s="164">
        <v>63</v>
      </c>
      <c r="D88" s="164">
        <v>262</v>
      </c>
      <c r="E88" s="164">
        <v>286</v>
      </c>
      <c r="F88" s="164">
        <v>329</v>
      </c>
      <c r="G88" s="164">
        <v>349</v>
      </c>
      <c r="H88" s="164">
        <v>336</v>
      </c>
      <c r="I88" s="165">
        <f t="shared" si="54"/>
        <v>-3.7249283667621813E-2</v>
      </c>
      <c r="J88" s="165">
        <f t="shared" si="51"/>
        <v>7.6781572422618568E-4</v>
      </c>
      <c r="K88" s="164">
        <v>50</v>
      </c>
      <c r="L88" s="164">
        <v>1594</v>
      </c>
      <c r="M88" s="164">
        <v>2183</v>
      </c>
      <c r="N88" s="164">
        <v>2147</v>
      </c>
      <c r="O88" s="164">
        <v>2200</v>
      </c>
      <c r="P88" s="164">
        <v>1807</v>
      </c>
      <c r="Q88" s="165">
        <f t="shared" si="55"/>
        <v>-0.17863636363636359</v>
      </c>
      <c r="R88" s="165">
        <f t="shared" si="53"/>
        <v>9.0292258100944445E-4</v>
      </c>
      <c r="S88" s="164">
        <v>113</v>
      </c>
      <c r="T88" s="164">
        <v>2469</v>
      </c>
      <c r="U88" s="164">
        <v>2476</v>
      </c>
      <c r="V88" s="164">
        <v>2549</v>
      </c>
      <c r="W88" s="164">
        <v>2143</v>
      </c>
      <c r="X88" s="165">
        <f t="shared" si="56"/>
        <v>-0.15927814829344844</v>
      </c>
      <c r="Y88" s="165">
        <f t="shared" si="57"/>
        <v>8.7868057685400376E-4</v>
      </c>
    </row>
    <row r="89" spans="1:25" x14ac:dyDescent="0.25">
      <c r="A89" s="57"/>
      <c r="B89" s="163" t="s">
        <v>136</v>
      </c>
      <c r="C89" s="164">
        <v>102</v>
      </c>
      <c r="D89" s="164">
        <v>400</v>
      </c>
      <c r="E89" s="164">
        <v>379</v>
      </c>
      <c r="F89" s="164">
        <v>360</v>
      </c>
      <c r="G89" s="164">
        <v>447</v>
      </c>
      <c r="H89" s="164">
        <v>515</v>
      </c>
      <c r="I89" s="165">
        <f t="shared" si="54"/>
        <v>0.15212527964205824</v>
      </c>
      <c r="J89" s="165">
        <f t="shared" si="51"/>
        <v>1.1768604106443025E-3</v>
      </c>
      <c r="K89" s="164">
        <v>117</v>
      </c>
      <c r="L89" s="164">
        <v>1140</v>
      </c>
      <c r="M89" s="164">
        <v>2146</v>
      </c>
      <c r="N89" s="164">
        <v>2629</v>
      </c>
      <c r="O89" s="164">
        <v>1654</v>
      </c>
      <c r="P89" s="164">
        <v>1922</v>
      </c>
      <c r="Q89" s="165">
        <f t="shared" si="55"/>
        <v>0.16203143893591299</v>
      </c>
      <c r="R89" s="165">
        <f t="shared" si="53"/>
        <v>9.6038583325963047E-4</v>
      </c>
      <c r="S89" s="164">
        <v>219</v>
      </c>
      <c r="T89" s="164">
        <v>2525</v>
      </c>
      <c r="U89" s="164">
        <v>2989</v>
      </c>
      <c r="V89" s="164">
        <v>2101</v>
      </c>
      <c r="W89" s="164">
        <v>2437</v>
      </c>
      <c r="X89" s="165">
        <f t="shared" si="56"/>
        <v>0.15992384578772012</v>
      </c>
      <c r="Y89" s="165">
        <f t="shared" si="57"/>
        <v>9.9922751553579428E-4</v>
      </c>
    </row>
    <row r="90" spans="1:25" x14ac:dyDescent="0.25">
      <c r="A90" s="57"/>
      <c r="B90" s="168" t="s">
        <v>150</v>
      </c>
      <c r="C90" s="169">
        <f t="shared" ref="C90:H90" si="58">C82-SUM(C83:C89)</f>
        <v>3884</v>
      </c>
      <c r="D90" s="169">
        <f t="shared" si="58"/>
        <v>13279</v>
      </c>
      <c r="E90" s="169">
        <f t="shared" si="58"/>
        <v>12563</v>
      </c>
      <c r="F90" s="169">
        <f t="shared" si="58"/>
        <v>15487</v>
      </c>
      <c r="G90" s="169">
        <f t="shared" si="58"/>
        <v>16689</v>
      </c>
      <c r="H90" s="169">
        <f t="shared" si="58"/>
        <v>15980</v>
      </c>
      <c r="I90" s="170">
        <f t="shared" si="54"/>
        <v>-4.2483072682605316E-2</v>
      </c>
      <c r="J90" s="170">
        <f t="shared" si="51"/>
        <v>3.6516950217662048E-2</v>
      </c>
      <c r="K90" s="169">
        <f t="shared" ref="K90:P90" si="59">K82-SUM(K83:K89)</f>
        <v>11718</v>
      </c>
      <c r="L90" s="169">
        <f t="shared" si="59"/>
        <v>37174</v>
      </c>
      <c r="M90" s="169">
        <f t="shared" si="59"/>
        <v>51569</v>
      </c>
      <c r="N90" s="169">
        <f t="shared" si="59"/>
        <v>63153</v>
      </c>
      <c r="O90" s="169">
        <f t="shared" si="59"/>
        <v>62425</v>
      </c>
      <c r="P90" s="169">
        <f t="shared" si="59"/>
        <v>59872</v>
      </c>
      <c r="Q90" s="170">
        <f t="shared" si="55"/>
        <v>-4.0897076491790196E-2</v>
      </c>
      <c r="R90" s="170">
        <f t="shared" si="53"/>
        <v>2.9916868162809883E-2</v>
      </c>
      <c r="S90" s="169">
        <f>S82-SUM(S83:S89)</f>
        <v>15602</v>
      </c>
      <c r="T90" s="169">
        <f>T82-SUM(T83:T89)</f>
        <v>64132</v>
      </c>
      <c r="U90" s="169">
        <f>U82-SUM(U83:U89)</f>
        <v>78640</v>
      </c>
      <c r="V90" s="169">
        <f>V82-SUM(V83:V89)</f>
        <v>79114</v>
      </c>
      <c r="W90" s="169">
        <f>W82-SUM(W83:W89)</f>
        <v>75852</v>
      </c>
      <c r="X90" s="170">
        <f t="shared" si="56"/>
        <v>-4.1231640417625171E-2</v>
      </c>
      <c r="Y90" s="170">
        <f t="shared" si="57"/>
        <v>3.1101110179901956E-2</v>
      </c>
    </row>
    <row r="91" spans="1:25" x14ac:dyDescent="0.25">
      <c r="A91" s="57"/>
      <c r="B91" s="155" t="s">
        <v>51</v>
      </c>
      <c r="C91" s="153"/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53"/>
      <c r="O91" s="153"/>
      <c r="P91" s="153"/>
      <c r="Q91" s="153"/>
      <c r="R91" s="153"/>
      <c r="S91" s="153"/>
      <c r="T91" s="153"/>
      <c r="U91" s="153"/>
      <c r="V91" s="153"/>
      <c r="W91" s="153"/>
      <c r="X91" s="153"/>
      <c r="Y91" s="153"/>
    </row>
    <row r="92" spans="1:25" x14ac:dyDescent="0.25">
      <c r="A92" s="57"/>
      <c r="B92" s="156" t="s">
        <v>73</v>
      </c>
      <c r="C92" s="176">
        <f t="shared" ref="C92:H92" si="60">C93+C96</f>
        <v>0</v>
      </c>
      <c r="D92" s="176">
        <f t="shared" si="60"/>
        <v>1767</v>
      </c>
      <c r="E92" s="176">
        <f t="shared" si="60"/>
        <v>4510</v>
      </c>
      <c r="F92" s="176">
        <f t="shared" si="60"/>
        <v>4579</v>
      </c>
      <c r="G92" s="176">
        <f t="shared" si="60"/>
        <v>4975</v>
      </c>
      <c r="H92" s="176">
        <f t="shared" si="60"/>
        <v>5277</v>
      </c>
      <c r="I92" s="177">
        <f>IFERROR(H92/G92-1,"-")</f>
        <v>6.0703517587939793E-2</v>
      </c>
      <c r="J92" s="177">
        <f t="shared" ref="J92:J104" si="61">H92/H$8</f>
        <v>1.2058820168873757E-2</v>
      </c>
      <c r="K92" s="176">
        <f t="shared" ref="K92:P92" si="62">K93+K96</f>
        <v>0</v>
      </c>
      <c r="L92" s="176">
        <f t="shared" si="62"/>
        <v>14735</v>
      </c>
      <c r="M92" s="176">
        <f t="shared" si="62"/>
        <v>30513</v>
      </c>
      <c r="N92" s="176">
        <f t="shared" si="62"/>
        <v>29212</v>
      </c>
      <c r="O92" s="176">
        <f t="shared" si="62"/>
        <v>26934</v>
      </c>
      <c r="P92" s="176">
        <f t="shared" si="62"/>
        <v>25835</v>
      </c>
      <c r="Q92" s="177">
        <f>IFERROR(P92/O92-1,"-")</f>
        <v>-4.0803445459270837E-2</v>
      </c>
      <c r="R92" s="177">
        <f t="shared" ref="R92:R104" si="63">P92/P$8</f>
        <v>1.2909244538117873E-2</v>
      </c>
      <c r="S92" s="176">
        <f>S93+S96</f>
        <v>14230</v>
      </c>
      <c r="T92" s="176">
        <f>T93+T96</f>
        <v>35023</v>
      </c>
      <c r="U92" s="176">
        <f>U93+U96</f>
        <v>33791</v>
      </c>
      <c r="V92" s="176">
        <f>V93+V96</f>
        <v>31909</v>
      </c>
      <c r="W92" s="176">
        <f>W93+W96</f>
        <v>31112</v>
      </c>
      <c r="X92" s="177">
        <f>IFERROR(W92/V92-1,"-")</f>
        <v>-2.4977279137547437E-2</v>
      </c>
      <c r="Y92" s="177">
        <f>W92/W$8</f>
        <v>1.2756654273019955E-2</v>
      </c>
    </row>
    <row r="93" spans="1:25" x14ac:dyDescent="0.25">
      <c r="A93" s="57"/>
      <c r="B93" s="159" t="s">
        <v>102</v>
      </c>
      <c r="C93" s="160">
        <v>0</v>
      </c>
      <c r="D93" s="160">
        <v>1440</v>
      </c>
      <c r="E93" s="160">
        <v>3156</v>
      </c>
      <c r="F93" s="160">
        <v>3245</v>
      </c>
      <c r="G93" s="160">
        <v>3563</v>
      </c>
      <c r="H93" s="160">
        <v>4019</v>
      </c>
      <c r="I93" s="161">
        <f>IFERROR(H93/G93-1,"-")</f>
        <v>0.12798203760875659</v>
      </c>
      <c r="J93" s="161">
        <f t="shared" si="61"/>
        <v>9.1840815347173817E-3</v>
      </c>
      <c r="K93" s="160">
        <v>0</v>
      </c>
      <c r="L93" s="160">
        <v>10540</v>
      </c>
      <c r="M93" s="160">
        <v>19950</v>
      </c>
      <c r="N93" s="160">
        <v>17098</v>
      </c>
      <c r="O93" s="160">
        <v>15527</v>
      </c>
      <c r="P93" s="160">
        <v>15512</v>
      </c>
      <c r="Q93" s="161">
        <f>IFERROR(P93/O93-1,"-")</f>
        <v>-9.6605912281833017E-4</v>
      </c>
      <c r="R93" s="161">
        <f t="shared" si="63"/>
        <v>7.7510432078685678E-3</v>
      </c>
      <c r="S93" s="160">
        <v>9042</v>
      </c>
      <c r="T93" s="160">
        <v>23106</v>
      </c>
      <c r="U93" s="160">
        <v>20343</v>
      </c>
      <c r="V93" s="160">
        <v>19090</v>
      </c>
      <c r="W93" s="160">
        <v>19531</v>
      </c>
      <c r="X93" s="161">
        <f>IFERROR(W93/V93-1,"-")</f>
        <v>2.3101100052383527E-2</v>
      </c>
      <c r="Y93" s="161">
        <f>W93/W$8</f>
        <v>8.0081709503199011E-3</v>
      </c>
    </row>
    <row r="94" spans="1:25" x14ac:dyDescent="0.25">
      <c r="A94" s="57"/>
      <c r="B94" s="163" t="s">
        <v>108</v>
      </c>
      <c r="C94" s="164">
        <v>0</v>
      </c>
      <c r="D94" s="164">
        <v>1120</v>
      </c>
      <c r="E94" s="164">
        <v>2249</v>
      </c>
      <c r="F94" s="164">
        <v>2322</v>
      </c>
      <c r="G94" s="164">
        <v>2560</v>
      </c>
      <c r="H94" s="164">
        <v>2801</v>
      </c>
      <c r="I94" s="165">
        <f>IFERROR(H94/G94-1,"-")</f>
        <v>9.4140625000000089E-2</v>
      </c>
      <c r="J94" s="165">
        <f t="shared" si="61"/>
        <v>6.4007495343974593E-3</v>
      </c>
      <c r="K94" s="164">
        <v>0</v>
      </c>
      <c r="L94" s="164">
        <v>4853</v>
      </c>
      <c r="M94" s="164">
        <v>4915</v>
      </c>
      <c r="N94" s="164">
        <v>3958</v>
      </c>
      <c r="O94" s="164">
        <v>3652</v>
      </c>
      <c r="P94" s="164">
        <v>5254</v>
      </c>
      <c r="Q94" s="165">
        <f>IFERROR(P94/O94-1,"-")</f>
        <v>0.43866374589266166</v>
      </c>
      <c r="R94" s="165">
        <f t="shared" si="63"/>
        <v>2.6253211071519764E-3</v>
      </c>
      <c r="S94" s="164">
        <v>4883</v>
      </c>
      <c r="T94" s="164">
        <v>7164</v>
      </c>
      <c r="U94" s="164">
        <v>6280</v>
      </c>
      <c r="V94" s="164">
        <v>6212</v>
      </c>
      <c r="W94" s="164">
        <v>8055</v>
      </c>
      <c r="X94" s="165">
        <f>IFERROR(W94/V94-1,"-")</f>
        <v>0.29668383773341911</v>
      </c>
      <c r="Y94" s="165">
        <f>W94/W$8</f>
        <v>3.3027401057204851E-3</v>
      </c>
    </row>
    <row r="95" spans="1:25" x14ac:dyDescent="0.25">
      <c r="A95" s="57"/>
      <c r="B95" s="163" t="s">
        <v>105</v>
      </c>
      <c r="C95" s="164">
        <v>0</v>
      </c>
      <c r="D95" s="164">
        <v>320</v>
      </c>
      <c r="E95" s="164">
        <v>907</v>
      </c>
      <c r="F95" s="164">
        <v>923</v>
      </c>
      <c r="G95" s="164">
        <v>1003</v>
      </c>
      <c r="H95" s="164">
        <v>1218</v>
      </c>
      <c r="I95" s="165">
        <f>IFERROR(H95/G95-1,"-")</f>
        <v>0.21435692921236282</v>
      </c>
      <c r="J95" s="165">
        <f t="shared" si="61"/>
        <v>2.7833320003199232E-3</v>
      </c>
      <c r="K95" s="164">
        <v>0</v>
      </c>
      <c r="L95" s="164">
        <v>5687</v>
      </c>
      <c r="M95" s="164">
        <v>15035</v>
      </c>
      <c r="N95" s="164">
        <v>13140</v>
      </c>
      <c r="O95" s="164">
        <v>11875</v>
      </c>
      <c r="P95" s="164">
        <v>10258</v>
      </c>
      <c r="Q95" s="165">
        <f>IFERROR(P95/O95-1,"-")</f>
        <v>-0.13616842105263161</v>
      </c>
      <c r="R95" s="165">
        <f t="shared" si="63"/>
        <v>5.1257221007165914E-3</v>
      </c>
      <c r="S95" s="164">
        <v>4159</v>
      </c>
      <c r="T95" s="164">
        <v>15942</v>
      </c>
      <c r="U95" s="164">
        <v>14063</v>
      </c>
      <c r="V95" s="164">
        <v>12878</v>
      </c>
      <c r="W95" s="164">
        <v>11476</v>
      </c>
      <c r="X95" s="165">
        <f>IFERROR(W95/V95-1,"-")</f>
        <v>-0.10886783662059329</v>
      </c>
      <c r="Y95" s="165">
        <f>W95/W$8</f>
        <v>4.7054308445994147E-3</v>
      </c>
    </row>
    <row r="96" spans="1:25" x14ac:dyDescent="0.25">
      <c r="A96" s="57"/>
      <c r="B96" s="159" t="s">
        <v>112</v>
      </c>
      <c r="C96" s="160">
        <v>0</v>
      </c>
      <c r="D96" s="160">
        <v>327</v>
      </c>
      <c r="E96" s="160">
        <v>1354</v>
      </c>
      <c r="F96" s="160">
        <v>1334</v>
      </c>
      <c r="G96" s="160">
        <v>1412</v>
      </c>
      <c r="H96" s="160">
        <v>1258</v>
      </c>
      <c r="I96" s="161">
        <f>IFERROR(H96/G96-1,"-")</f>
        <v>-0.10906515580736542</v>
      </c>
      <c r="J96" s="161">
        <f t="shared" si="61"/>
        <v>2.8747386341563741E-3</v>
      </c>
      <c r="K96" s="160">
        <v>0</v>
      </c>
      <c r="L96" s="160">
        <v>4195</v>
      </c>
      <c r="M96" s="160">
        <v>10563</v>
      </c>
      <c r="N96" s="160">
        <v>12114</v>
      </c>
      <c r="O96" s="160">
        <v>11407</v>
      </c>
      <c r="P96" s="160">
        <v>10323</v>
      </c>
      <c r="Q96" s="161">
        <f>IFERROR(P96/O96-1,"-")</f>
        <v>-9.5029367931971587E-2</v>
      </c>
      <c r="R96" s="161">
        <f t="shared" si="63"/>
        <v>5.1582013302493056E-3</v>
      </c>
      <c r="S96" s="160">
        <v>5188</v>
      </c>
      <c r="T96" s="160">
        <v>11917</v>
      </c>
      <c r="U96" s="160">
        <v>13448</v>
      </c>
      <c r="V96" s="160">
        <v>12819</v>
      </c>
      <c r="W96" s="160">
        <v>11581</v>
      </c>
      <c r="X96" s="161">
        <f>IFERROR(W96/V96-1,"-")</f>
        <v>-9.6575395896715821E-2</v>
      </c>
      <c r="Y96" s="161">
        <f>W96/W$8</f>
        <v>4.7484833227000546E-3</v>
      </c>
    </row>
    <row r="97" spans="1:25" s="57" customFormat="1" x14ac:dyDescent="0.25">
      <c r="B97" s="163" t="s">
        <v>115</v>
      </c>
      <c r="C97" s="164">
        <v>0</v>
      </c>
      <c r="D97" s="164">
        <v>9</v>
      </c>
      <c r="E97" s="164">
        <v>77</v>
      </c>
      <c r="F97" s="164">
        <v>124</v>
      </c>
      <c r="G97" s="164">
        <v>76</v>
      </c>
      <c r="H97" s="164">
        <v>186</v>
      </c>
      <c r="I97" s="165">
        <f t="shared" ref="I97:I104" si="64">IFERROR(H97/G97-1,"-")</f>
        <v>1.4473684210526314</v>
      </c>
      <c r="J97" s="165">
        <f t="shared" si="61"/>
        <v>4.2504084733949567E-4</v>
      </c>
      <c r="K97" s="164">
        <v>0</v>
      </c>
      <c r="L97" s="164">
        <v>465</v>
      </c>
      <c r="M97" s="164">
        <v>1644</v>
      </c>
      <c r="N97" s="164">
        <v>1877</v>
      </c>
      <c r="O97" s="164">
        <v>1614</v>
      </c>
      <c r="P97" s="164">
        <v>1436</v>
      </c>
      <c r="Q97" s="165">
        <f t="shared" ref="Q97:Q104" si="65">IFERROR(P97/O97-1,"-")</f>
        <v>-0.11028500619578685</v>
      </c>
      <c r="R97" s="165">
        <f t="shared" si="63"/>
        <v>7.1754113244580089E-4</v>
      </c>
      <c r="S97" s="164">
        <v>194</v>
      </c>
      <c r="T97" s="164">
        <v>1721</v>
      </c>
      <c r="U97" s="164">
        <v>2001</v>
      </c>
      <c r="V97" s="164">
        <v>1690</v>
      </c>
      <c r="W97" s="164">
        <v>1622</v>
      </c>
      <c r="X97" s="165">
        <f t="shared" ref="X97:X104" si="66">IFERROR(W97/V97-1,"-")</f>
        <v>-4.0236686390532572E-2</v>
      </c>
      <c r="Y97" s="165">
        <f t="shared" ref="Y97:Y104" si="67">W97/W$8</f>
        <v>6.6505828075464019E-4</v>
      </c>
    </row>
    <row r="98" spans="1:25" s="57" customFormat="1" x14ac:dyDescent="0.25">
      <c r="B98" s="163" t="s">
        <v>118</v>
      </c>
      <c r="C98" s="164">
        <v>0</v>
      </c>
      <c r="D98" s="164">
        <v>45</v>
      </c>
      <c r="E98" s="164">
        <v>174</v>
      </c>
      <c r="F98" s="164">
        <v>219</v>
      </c>
      <c r="G98" s="164">
        <v>208</v>
      </c>
      <c r="H98" s="164">
        <v>155</v>
      </c>
      <c r="I98" s="165">
        <f t="shared" si="64"/>
        <v>-0.25480769230769229</v>
      </c>
      <c r="J98" s="165">
        <f t="shared" si="61"/>
        <v>3.5420070611624641E-4</v>
      </c>
      <c r="K98" s="164">
        <v>0</v>
      </c>
      <c r="L98" s="164">
        <v>804</v>
      </c>
      <c r="M98" s="164">
        <v>1958</v>
      </c>
      <c r="N98" s="164">
        <v>2394</v>
      </c>
      <c r="O98" s="164">
        <v>2089</v>
      </c>
      <c r="P98" s="164">
        <v>1840</v>
      </c>
      <c r="Q98" s="165">
        <f t="shared" si="65"/>
        <v>-0.11919578745811388</v>
      </c>
      <c r="R98" s="165">
        <f t="shared" si="63"/>
        <v>9.1941203600297608E-4</v>
      </c>
      <c r="S98" s="164">
        <v>779</v>
      </c>
      <c r="T98" s="164">
        <v>2132</v>
      </c>
      <c r="U98" s="164">
        <v>2613</v>
      </c>
      <c r="V98" s="164">
        <v>2297</v>
      </c>
      <c r="W98" s="164">
        <v>1995</v>
      </c>
      <c r="X98" s="165">
        <f t="shared" si="66"/>
        <v>-0.13147583804962992</v>
      </c>
      <c r="Y98" s="165">
        <f t="shared" si="67"/>
        <v>8.1799708391215001E-4</v>
      </c>
    </row>
    <row r="99" spans="1:25" x14ac:dyDescent="0.25">
      <c r="A99" s="57"/>
      <c r="B99" s="163" t="s">
        <v>121</v>
      </c>
      <c r="C99" s="164">
        <v>0</v>
      </c>
      <c r="D99" s="164">
        <v>104</v>
      </c>
      <c r="E99" s="164">
        <v>548</v>
      </c>
      <c r="F99" s="164">
        <v>386</v>
      </c>
      <c r="G99" s="164">
        <v>458</v>
      </c>
      <c r="H99" s="164">
        <v>332</v>
      </c>
      <c r="I99" s="165">
        <f t="shared" si="64"/>
        <v>-0.27510917030567683</v>
      </c>
      <c r="J99" s="165">
        <f t="shared" si="61"/>
        <v>7.5867506084254064E-4</v>
      </c>
      <c r="K99" s="164">
        <v>0</v>
      </c>
      <c r="L99" s="164">
        <v>779</v>
      </c>
      <c r="M99" s="164">
        <v>1755</v>
      </c>
      <c r="N99" s="164">
        <v>1880</v>
      </c>
      <c r="O99" s="164">
        <v>1715</v>
      </c>
      <c r="P99" s="164">
        <v>1787</v>
      </c>
      <c r="Q99" s="165">
        <f t="shared" si="65"/>
        <v>4.1982507288629733E-2</v>
      </c>
      <c r="R99" s="165">
        <f t="shared" si="63"/>
        <v>8.9292897192245558E-4</v>
      </c>
      <c r="S99" s="164">
        <v>2064</v>
      </c>
      <c r="T99" s="164">
        <v>2303</v>
      </c>
      <c r="U99" s="164">
        <v>2266</v>
      </c>
      <c r="V99" s="164">
        <v>2173</v>
      </c>
      <c r="W99" s="164">
        <v>2119</v>
      </c>
      <c r="X99" s="165">
        <f t="shared" si="66"/>
        <v>-2.4850437183617125E-2</v>
      </c>
      <c r="Y99" s="165">
        <f t="shared" si="67"/>
        <v>8.6884001043100042E-4</v>
      </c>
    </row>
    <row r="100" spans="1:25" x14ac:dyDescent="0.25">
      <c r="A100" s="57"/>
      <c r="B100" s="163" t="s">
        <v>128</v>
      </c>
      <c r="C100" s="164">
        <v>0</v>
      </c>
      <c r="D100" s="164">
        <v>10</v>
      </c>
      <c r="E100" s="164">
        <v>17</v>
      </c>
      <c r="F100" s="164">
        <v>57</v>
      </c>
      <c r="G100" s="164">
        <v>46</v>
      </c>
      <c r="H100" s="164">
        <v>43</v>
      </c>
      <c r="I100" s="165">
        <f t="shared" si="64"/>
        <v>-6.5217391304347783E-2</v>
      </c>
      <c r="J100" s="165">
        <f t="shared" si="61"/>
        <v>9.8262131374184482E-5</v>
      </c>
      <c r="K100" s="164">
        <v>0</v>
      </c>
      <c r="L100" s="164">
        <v>302</v>
      </c>
      <c r="M100" s="164">
        <v>552</v>
      </c>
      <c r="N100" s="164">
        <v>570</v>
      </c>
      <c r="O100" s="164">
        <v>576</v>
      </c>
      <c r="P100" s="164">
        <v>547</v>
      </c>
      <c r="Q100" s="165">
        <f t="shared" si="65"/>
        <v>-5.034722222222221E-2</v>
      </c>
      <c r="R100" s="165">
        <f t="shared" si="63"/>
        <v>2.733252085291456E-4</v>
      </c>
      <c r="S100" s="164">
        <v>99</v>
      </c>
      <c r="T100" s="164">
        <v>569</v>
      </c>
      <c r="U100" s="164">
        <v>627</v>
      </c>
      <c r="V100" s="164">
        <v>622</v>
      </c>
      <c r="W100" s="164">
        <v>590</v>
      </c>
      <c r="X100" s="165">
        <f t="shared" si="66"/>
        <v>-5.144694533762062E-2</v>
      </c>
      <c r="Y100" s="165">
        <f t="shared" si="67"/>
        <v>2.4191392456549799E-4</v>
      </c>
    </row>
    <row r="101" spans="1:25" x14ac:dyDescent="0.25">
      <c r="A101" s="57"/>
      <c r="B101" s="163" t="s">
        <v>124</v>
      </c>
      <c r="C101" s="164">
        <v>0</v>
      </c>
      <c r="D101" s="164">
        <v>0</v>
      </c>
      <c r="E101" s="164">
        <v>61</v>
      </c>
      <c r="F101" s="164">
        <v>30</v>
      </c>
      <c r="G101" s="164">
        <v>49</v>
      </c>
      <c r="H101" s="164">
        <v>50</v>
      </c>
      <c r="I101" s="165">
        <f t="shared" si="64"/>
        <v>2.0408163265306145E-2</v>
      </c>
      <c r="J101" s="165">
        <f t="shared" si="61"/>
        <v>1.1425829229556335E-4</v>
      </c>
      <c r="K101" s="164">
        <v>0</v>
      </c>
      <c r="L101" s="164">
        <v>184</v>
      </c>
      <c r="M101" s="164">
        <v>275</v>
      </c>
      <c r="N101" s="164">
        <v>509</v>
      </c>
      <c r="O101" s="164">
        <v>474</v>
      </c>
      <c r="P101" s="164">
        <v>441</v>
      </c>
      <c r="Q101" s="165">
        <f t="shared" si="65"/>
        <v>-6.9620253164557E-2</v>
      </c>
      <c r="R101" s="165">
        <f t="shared" si="63"/>
        <v>2.2035908036810461E-4</v>
      </c>
      <c r="S101" s="164">
        <v>197</v>
      </c>
      <c r="T101" s="164">
        <v>336</v>
      </c>
      <c r="U101" s="164">
        <v>539</v>
      </c>
      <c r="V101" s="164">
        <v>523</v>
      </c>
      <c r="W101" s="164">
        <v>491</v>
      </c>
      <c r="X101" s="165">
        <f t="shared" si="66"/>
        <v>-6.1185468451242842E-2</v>
      </c>
      <c r="Y101" s="165">
        <f t="shared" si="67"/>
        <v>2.0132158807060935E-4</v>
      </c>
    </row>
    <row r="102" spans="1:25" x14ac:dyDescent="0.25">
      <c r="A102" s="57"/>
      <c r="B102" s="163" t="s">
        <v>133</v>
      </c>
      <c r="C102" s="164">
        <v>0</v>
      </c>
      <c r="D102" s="164">
        <v>0</v>
      </c>
      <c r="E102" s="164">
        <v>9</v>
      </c>
      <c r="F102" s="164">
        <v>16</v>
      </c>
      <c r="G102" s="164">
        <v>12</v>
      </c>
      <c r="H102" s="164">
        <v>11</v>
      </c>
      <c r="I102" s="165">
        <f t="shared" si="64"/>
        <v>-8.333333333333337E-2</v>
      </c>
      <c r="J102" s="165">
        <f t="shared" si="61"/>
        <v>2.5136824305023935E-5</v>
      </c>
      <c r="K102" s="164">
        <v>0</v>
      </c>
      <c r="L102" s="164">
        <v>31</v>
      </c>
      <c r="M102" s="164">
        <v>87</v>
      </c>
      <c r="N102" s="164">
        <v>145</v>
      </c>
      <c r="O102" s="164">
        <v>141</v>
      </c>
      <c r="P102" s="164">
        <v>112</v>
      </c>
      <c r="Q102" s="165">
        <f t="shared" si="65"/>
        <v>-0.20567375886524819</v>
      </c>
      <c r="R102" s="165">
        <f t="shared" si="63"/>
        <v>5.5964210887137676E-5</v>
      </c>
      <c r="S102" s="164">
        <v>19</v>
      </c>
      <c r="T102" s="164">
        <v>96</v>
      </c>
      <c r="U102" s="164">
        <v>161</v>
      </c>
      <c r="V102" s="164">
        <v>153</v>
      </c>
      <c r="W102" s="164">
        <v>123</v>
      </c>
      <c r="X102" s="165">
        <f t="shared" si="66"/>
        <v>-0.19607843137254899</v>
      </c>
      <c r="Y102" s="165">
        <f t="shared" si="67"/>
        <v>5.0432902917891951E-5</v>
      </c>
    </row>
    <row r="103" spans="1:25" x14ac:dyDescent="0.25">
      <c r="A103" s="57"/>
      <c r="B103" s="163" t="s">
        <v>136</v>
      </c>
      <c r="C103" s="164">
        <v>0</v>
      </c>
      <c r="D103" s="164">
        <v>0</v>
      </c>
      <c r="E103" s="164">
        <v>0</v>
      </c>
      <c r="F103" s="164">
        <v>11</v>
      </c>
      <c r="G103" s="164">
        <v>8</v>
      </c>
      <c r="H103" s="164">
        <v>4</v>
      </c>
      <c r="I103" s="165">
        <f t="shared" si="64"/>
        <v>-0.5</v>
      </c>
      <c r="J103" s="165">
        <f t="shared" si="61"/>
        <v>9.1406633836450684E-6</v>
      </c>
      <c r="K103" s="164">
        <v>0</v>
      </c>
      <c r="L103" s="164">
        <v>34</v>
      </c>
      <c r="M103" s="164">
        <v>164</v>
      </c>
      <c r="N103" s="164">
        <v>256</v>
      </c>
      <c r="O103" s="164">
        <v>141</v>
      </c>
      <c r="P103" s="164">
        <v>111</v>
      </c>
      <c r="Q103" s="165">
        <f t="shared" si="65"/>
        <v>-0.21276595744680848</v>
      </c>
      <c r="R103" s="165">
        <f t="shared" si="63"/>
        <v>5.5464530432788231E-5</v>
      </c>
      <c r="S103" s="164">
        <v>44</v>
      </c>
      <c r="T103" s="164">
        <v>164</v>
      </c>
      <c r="U103" s="164">
        <v>267</v>
      </c>
      <c r="V103" s="164">
        <v>149</v>
      </c>
      <c r="W103" s="164">
        <v>115</v>
      </c>
      <c r="X103" s="165">
        <f t="shared" si="66"/>
        <v>-0.22818791946308725</v>
      </c>
      <c r="Y103" s="165">
        <f t="shared" si="67"/>
        <v>4.7152714110224186E-5</v>
      </c>
    </row>
    <row r="104" spans="1:25" x14ac:dyDescent="0.25">
      <c r="A104" s="57"/>
      <c r="B104" s="168" t="s">
        <v>150</v>
      </c>
      <c r="C104" s="169">
        <f t="shared" ref="C104:H104" si="68">C96-SUM(C97:C103)</f>
        <v>0</v>
      </c>
      <c r="D104" s="169">
        <f t="shared" si="68"/>
        <v>159</v>
      </c>
      <c r="E104" s="169">
        <f t="shared" si="68"/>
        <v>468</v>
      </c>
      <c r="F104" s="169">
        <f t="shared" si="68"/>
        <v>491</v>
      </c>
      <c r="G104" s="169">
        <f t="shared" si="68"/>
        <v>555</v>
      </c>
      <c r="H104" s="169">
        <f t="shared" si="68"/>
        <v>477</v>
      </c>
      <c r="I104" s="170">
        <f t="shared" si="64"/>
        <v>-0.14054054054054055</v>
      </c>
      <c r="J104" s="170">
        <f t="shared" si="61"/>
        <v>1.0900241084996743E-3</v>
      </c>
      <c r="K104" s="169">
        <f t="shared" ref="K104:P104" si="69">K96-SUM(K97:K103)</f>
        <v>0</v>
      </c>
      <c r="L104" s="169">
        <f t="shared" si="69"/>
        <v>1596</v>
      </c>
      <c r="M104" s="169">
        <f t="shared" si="69"/>
        <v>4128</v>
      </c>
      <c r="N104" s="169">
        <f t="shared" si="69"/>
        <v>4483</v>
      </c>
      <c r="O104" s="169">
        <f t="shared" si="69"/>
        <v>4657</v>
      </c>
      <c r="P104" s="169">
        <f t="shared" si="69"/>
        <v>4049</v>
      </c>
      <c r="Q104" s="170">
        <f t="shared" si="65"/>
        <v>-0.13055615202920334</v>
      </c>
      <c r="R104" s="170">
        <f t="shared" si="63"/>
        <v>2.023206159660897E-3</v>
      </c>
      <c r="S104" s="169">
        <f>S96-SUM(S97:S103)</f>
        <v>1792</v>
      </c>
      <c r="T104" s="169">
        <f>T96-SUM(T97:T103)</f>
        <v>4596</v>
      </c>
      <c r="U104" s="169">
        <f>U96-SUM(U97:U103)</f>
        <v>4974</v>
      </c>
      <c r="V104" s="169">
        <f>V96-SUM(V97:V103)</f>
        <v>5212</v>
      </c>
      <c r="W104" s="169">
        <f>W96-SUM(W97:W103)</f>
        <v>4526</v>
      </c>
      <c r="X104" s="170">
        <f t="shared" si="66"/>
        <v>-0.13161933998465081</v>
      </c>
      <c r="Y104" s="170">
        <f t="shared" si="67"/>
        <v>1.8557668179380404E-3</v>
      </c>
    </row>
    <row r="105" spans="1:25" x14ac:dyDescent="0.25">
      <c r="A105" s="57"/>
      <c r="B105" s="155" t="s">
        <v>52</v>
      </c>
      <c r="C105" s="153"/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  <c r="N105" s="153"/>
      <c r="O105" s="153"/>
      <c r="P105" s="153"/>
      <c r="Q105" s="153"/>
      <c r="R105" s="153"/>
      <c r="S105" s="153"/>
      <c r="T105" s="153"/>
      <c r="U105" s="153"/>
      <c r="V105" s="153"/>
      <c r="W105" s="153"/>
      <c r="X105" s="153"/>
      <c r="Y105" s="153"/>
    </row>
    <row r="106" spans="1:25" x14ac:dyDescent="0.25">
      <c r="A106" s="57"/>
      <c r="B106" s="156" t="s">
        <v>73</v>
      </c>
      <c r="C106" s="176">
        <f t="shared" ref="C106:H106" si="70">C107+C110</f>
        <v>0</v>
      </c>
      <c r="D106" s="176">
        <f t="shared" si="70"/>
        <v>0</v>
      </c>
      <c r="E106" s="176">
        <f t="shared" si="70"/>
        <v>0</v>
      </c>
      <c r="F106" s="176">
        <f t="shared" si="70"/>
        <v>0</v>
      </c>
      <c r="G106" s="176">
        <f t="shared" si="70"/>
        <v>0</v>
      </c>
      <c r="H106" s="176">
        <f t="shared" si="70"/>
        <v>0</v>
      </c>
      <c r="I106" s="177" t="str">
        <f>IFERROR(H106/G106-1,"-")</f>
        <v>-</v>
      </c>
      <c r="J106" s="177">
        <f t="shared" ref="J106:J118" si="71">H106/H$8</f>
        <v>0</v>
      </c>
      <c r="K106" s="176">
        <f t="shared" ref="K106:P106" si="72">K107+K110</f>
        <v>0</v>
      </c>
      <c r="L106" s="176">
        <f t="shared" si="72"/>
        <v>0</v>
      </c>
      <c r="M106" s="176">
        <f t="shared" si="72"/>
        <v>0</v>
      </c>
      <c r="N106" s="176">
        <f t="shared" si="72"/>
        <v>0</v>
      </c>
      <c r="O106" s="176">
        <f t="shared" si="72"/>
        <v>0</v>
      </c>
      <c r="P106" s="176">
        <f t="shared" si="72"/>
        <v>0</v>
      </c>
      <c r="Q106" s="177" t="str">
        <f>IFERROR(P106/O106-1,"-")</f>
        <v>-</v>
      </c>
      <c r="R106" s="177">
        <f t="shared" ref="R106:R118" si="73">P106/P$8</f>
        <v>0</v>
      </c>
      <c r="S106" s="176">
        <f>S107+S110</f>
        <v>40119</v>
      </c>
      <c r="T106" s="176">
        <f>T107+T110</f>
        <v>130179</v>
      </c>
      <c r="U106" s="176">
        <f>U107+U110</f>
        <v>120964</v>
      </c>
      <c r="V106" s="176">
        <f>V107+V110</f>
        <v>131872</v>
      </c>
      <c r="W106" s="176">
        <f>W107+W110</f>
        <v>113182</v>
      </c>
      <c r="X106" s="177">
        <f>IFERROR(W106/V106-1,"-")</f>
        <v>-0.14172834263528267</v>
      </c>
      <c r="Y106" s="177">
        <f>W106/W$8</f>
        <v>4.6407291203681686E-2</v>
      </c>
    </row>
    <row r="107" spans="1:25" x14ac:dyDescent="0.25">
      <c r="A107" s="57"/>
      <c r="B107" s="159" t="s">
        <v>102</v>
      </c>
      <c r="C107" s="160">
        <v>0</v>
      </c>
      <c r="D107" s="160">
        <v>0</v>
      </c>
      <c r="E107" s="160">
        <v>0</v>
      </c>
      <c r="F107" s="160">
        <v>0</v>
      </c>
      <c r="G107" s="160">
        <v>0</v>
      </c>
      <c r="H107" s="160">
        <v>0</v>
      </c>
      <c r="I107" s="161" t="str">
        <f>IFERROR(H107/G107-1,"-")</f>
        <v>-</v>
      </c>
      <c r="J107" s="161">
        <f t="shared" si="71"/>
        <v>0</v>
      </c>
      <c r="K107" s="160">
        <v>0</v>
      </c>
      <c r="L107" s="160">
        <v>0</v>
      </c>
      <c r="M107" s="160">
        <v>0</v>
      </c>
      <c r="N107" s="160">
        <v>0</v>
      </c>
      <c r="O107" s="160">
        <v>0</v>
      </c>
      <c r="P107" s="160">
        <v>0</v>
      </c>
      <c r="Q107" s="161" t="str">
        <f>IFERROR(P107/O107-1,"-")</f>
        <v>-</v>
      </c>
      <c r="R107" s="161">
        <f t="shared" si="73"/>
        <v>0</v>
      </c>
      <c r="S107" s="160">
        <v>23621</v>
      </c>
      <c r="T107" s="160">
        <v>27482</v>
      </c>
      <c r="U107" s="160">
        <v>25067</v>
      </c>
      <c r="V107" s="160">
        <v>28025</v>
      </c>
      <c r="W107" s="160">
        <v>21901</v>
      </c>
      <c r="X107" s="161">
        <f>IFERROR(W107/V107-1,"-")</f>
        <v>-0.21851917930419273</v>
      </c>
      <c r="Y107" s="161">
        <f>W107/W$8</f>
        <v>8.9799268845914774E-3</v>
      </c>
    </row>
    <row r="108" spans="1:25" x14ac:dyDescent="0.25">
      <c r="A108" s="57"/>
      <c r="B108" s="163" t="s">
        <v>108</v>
      </c>
      <c r="C108" s="164">
        <v>0</v>
      </c>
      <c r="D108" s="164">
        <v>0</v>
      </c>
      <c r="E108" s="164">
        <v>0</v>
      </c>
      <c r="F108" s="164">
        <v>0</v>
      </c>
      <c r="G108" s="164">
        <v>0</v>
      </c>
      <c r="H108" s="164">
        <v>0</v>
      </c>
      <c r="I108" s="165" t="str">
        <f>IFERROR(H108/G108-1,"-")</f>
        <v>-</v>
      </c>
      <c r="J108" s="165">
        <f t="shared" si="71"/>
        <v>0</v>
      </c>
      <c r="K108" s="164">
        <v>0</v>
      </c>
      <c r="L108" s="164">
        <v>0</v>
      </c>
      <c r="M108" s="164">
        <v>0</v>
      </c>
      <c r="N108" s="164">
        <v>0</v>
      </c>
      <c r="O108" s="164">
        <v>0</v>
      </c>
      <c r="P108" s="164">
        <v>0</v>
      </c>
      <c r="Q108" s="165" t="str">
        <f>IFERROR(P108/O108-1,"-")</f>
        <v>-</v>
      </c>
      <c r="R108" s="165">
        <f t="shared" si="73"/>
        <v>0</v>
      </c>
      <c r="S108" s="164">
        <v>14663</v>
      </c>
      <c r="T108" s="164">
        <v>10100</v>
      </c>
      <c r="U108" s="164">
        <v>6918</v>
      </c>
      <c r="V108" s="164">
        <v>9152</v>
      </c>
      <c r="W108" s="164">
        <v>12391</v>
      </c>
      <c r="X108" s="165">
        <f>IFERROR(W108/V108-1,"-")</f>
        <v>0.35391171328671334</v>
      </c>
      <c r="Y108" s="165">
        <f>W108/W$8</f>
        <v>5.0806024394764162E-3</v>
      </c>
    </row>
    <row r="109" spans="1:25" x14ac:dyDescent="0.25">
      <c r="A109" s="57"/>
      <c r="B109" s="163" t="s">
        <v>105</v>
      </c>
      <c r="C109" s="164">
        <v>0</v>
      </c>
      <c r="D109" s="164">
        <v>0</v>
      </c>
      <c r="E109" s="164">
        <v>0</v>
      </c>
      <c r="F109" s="164">
        <v>0</v>
      </c>
      <c r="G109" s="164">
        <v>0</v>
      </c>
      <c r="H109" s="164">
        <v>0</v>
      </c>
      <c r="I109" s="165" t="str">
        <f>IFERROR(H109/G109-1,"-")</f>
        <v>-</v>
      </c>
      <c r="J109" s="165">
        <f t="shared" si="71"/>
        <v>0</v>
      </c>
      <c r="K109" s="164">
        <v>0</v>
      </c>
      <c r="L109" s="164">
        <v>0</v>
      </c>
      <c r="M109" s="164">
        <v>0</v>
      </c>
      <c r="N109" s="164">
        <v>0</v>
      </c>
      <c r="O109" s="164">
        <v>0</v>
      </c>
      <c r="P109" s="164">
        <v>0</v>
      </c>
      <c r="Q109" s="165" t="str">
        <f>IFERROR(P109/O109-1,"-")</f>
        <v>-</v>
      </c>
      <c r="R109" s="165">
        <f t="shared" si="73"/>
        <v>0</v>
      </c>
      <c r="S109" s="164">
        <v>8958</v>
      </c>
      <c r="T109" s="164">
        <v>17382</v>
      </c>
      <c r="U109" s="164">
        <v>18149</v>
      </c>
      <c r="V109" s="164">
        <v>18873</v>
      </c>
      <c r="W109" s="164">
        <v>9510</v>
      </c>
      <c r="X109" s="165">
        <f>IFERROR(W109/V109-1,"-")</f>
        <v>-0.49610554760769354</v>
      </c>
      <c r="Y109" s="165">
        <f>W109/W$8</f>
        <v>3.8993244451150607E-3</v>
      </c>
    </row>
    <row r="110" spans="1:25" x14ac:dyDescent="0.25">
      <c r="A110" s="57"/>
      <c r="B110" s="159" t="s">
        <v>112</v>
      </c>
      <c r="C110" s="160">
        <v>0</v>
      </c>
      <c r="D110" s="160">
        <v>0</v>
      </c>
      <c r="E110" s="160">
        <v>0</v>
      </c>
      <c r="F110" s="160">
        <v>0</v>
      </c>
      <c r="G110" s="160">
        <v>0</v>
      </c>
      <c r="H110" s="160">
        <v>0</v>
      </c>
      <c r="I110" s="161" t="str">
        <f>IFERROR(H110/G110-1,"-")</f>
        <v>-</v>
      </c>
      <c r="J110" s="161">
        <f t="shared" si="71"/>
        <v>0</v>
      </c>
      <c r="K110" s="160">
        <v>0</v>
      </c>
      <c r="L110" s="160">
        <v>0</v>
      </c>
      <c r="M110" s="160">
        <v>0</v>
      </c>
      <c r="N110" s="160">
        <v>0</v>
      </c>
      <c r="O110" s="160">
        <v>0</v>
      </c>
      <c r="P110" s="160">
        <v>0</v>
      </c>
      <c r="Q110" s="161" t="str">
        <f>IFERROR(P110/O110-1,"-")</f>
        <v>-</v>
      </c>
      <c r="R110" s="161">
        <f t="shared" si="73"/>
        <v>0</v>
      </c>
      <c r="S110" s="160">
        <v>16498</v>
      </c>
      <c r="T110" s="160">
        <v>102697</v>
      </c>
      <c r="U110" s="160">
        <v>95897</v>
      </c>
      <c r="V110" s="160">
        <v>103847</v>
      </c>
      <c r="W110" s="160">
        <v>91281</v>
      </c>
      <c r="X110" s="161">
        <f>IFERROR(W110/V110-1,"-")</f>
        <v>-0.12100493995974848</v>
      </c>
      <c r="Y110" s="161">
        <f>W110/W$8</f>
        <v>3.742736431909021E-2</v>
      </c>
    </row>
    <row r="111" spans="1:25" s="57" customFormat="1" x14ac:dyDescent="0.25">
      <c r="B111" s="163" t="s">
        <v>115</v>
      </c>
      <c r="C111" s="164">
        <v>0</v>
      </c>
      <c r="D111" s="164">
        <v>0</v>
      </c>
      <c r="E111" s="164">
        <v>0</v>
      </c>
      <c r="F111" s="164">
        <v>0</v>
      </c>
      <c r="G111" s="164">
        <v>0</v>
      </c>
      <c r="H111" s="164">
        <v>0</v>
      </c>
      <c r="I111" s="165" t="str">
        <f t="shared" ref="I111:I118" si="74">IFERROR(H111/G111-1,"-")</f>
        <v>-</v>
      </c>
      <c r="J111" s="165">
        <f t="shared" si="71"/>
        <v>0</v>
      </c>
      <c r="K111" s="164">
        <v>0</v>
      </c>
      <c r="L111" s="164">
        <v>0</v>
      </c>
      <c r="M111" s="164">
        <v>0</v>
      </c>
      <c r="N111" s="164">
        <v>0</v>
      </c>
      <c r="O111" s="164">
        <v>0</v>
      </c>
      <c r="P111" s="164">
        <v>0</v>
      </c>
      <c r="Q111" s="165" t="str">
        <f t="shared" ref="Q111:Q118" si="75">IFERROR(P111/O111-1,"-")</f>
        <v>-</v>
      </c>
      <c r="R111" s="165">
        <f t="shared" si="73"/>
        <v>0</v>
      </c>
      <c r="S111" s="164">
        <v>2558</v>
      </c>
      <c r="T111" s="164">
        <v>67050</v>
      </c>
      <c r="U111" s="164">
        <v>59434</v>
      </c>
      <c r="V111" s="164">
        <v>61942</v>
      </c>
      <c r="W111" s="164">
        <v>57507</v>
      </c>
      <c r="X111" s="165">
        <f t="shared" ref="X111:X118" si="76">IFERROR(W111/V111-1,"-")</f>
        <v>-7.1599237996835763E-2</v>
      </c>
      <c r="Y111" s="165">
        <f t="shared" ref="Y111:Y118" si="77">W111/W$8</f>
        <v>2.3579227220318803E-2</v>
      </c>
    </row>
    <row r="112" spans="1:25" s="57" customFormat="1" x14ac:dyDescent="0.25">
      <c r="B112" s="163" t="s">
        <v>118</v>
      </c>
      <c r="C112" s="164">
        <v>0</v>
      </c>
      <c r="D112" s="164">
        <v>0</v>
      </c>
      <c r="E112" s="164">
        <v>0</v>
      </c>
      <c r="F112" s="164">
        <v>0</v>
      </c>
      <c r="G112" s="164">
        <v>0</v>
      </c>
      <c r="H112" s="164">
        <v>0</v>
      </c>
      <c r="I112" s="165" t="str">
        <f t="shared" si="74"/>
        <v>-</v>
      </c>
      <c r="J112" s="165">
        <f t="shared" si="71"/>
        <v>0</v>
      </c>
      <c r="K112" s="164">
        <v>0</v>
      </c>
      <c r="L112" s="164">
        <v>0</v>
      </c>
      <c r="M112" s="164">
        <v>0</v>
      </c>
      <c r="N112" s="164">
        <v>0</v>
      </c>
      <c r="O112" s="164">
        <v>0</v>
      </c>
      <c r="P112" s="164">
        <v>0</v>
      </c>
      <c r="Q112" s="165" t="str">
        <f t="shared" si="75"/>
        <v>-</v>
      </c>
      <c r="R112" s="165">
        <f t="shared" si="73"/>
        <v>0</v>
      </c>
      <c r="S112" s="164">
        <v>4023</v>
      </c>
      <c r="T112" s="164">
        <v>4626</v>
      </c>
      <c r="U112" s="164">
        <v>4236</v>
      </c>
      <c r="V112" s="164">
        <v>4964</v>
      </c>
      <c r="W112" s="164">
        <v>4261</v>
      </c>
      <c r="X112" s="165">
        <f t="shared" si="76"/>
        <v>-0.14161966156325545</v>
      </c>
      <c r="Y112" s="165">
        <f t="shared" si="77"/>
        <v>1.7471105636840457E-3</v>
      </c>
    </row>
    <row r="113" spans="1:25" x14ac:dyDescent="0.25">
      <c r="A113" s="57"/>
      <c r="B113" s="163" t="s">
        <v>121</v>
      </c>
      <c r="C113" s="164">
        <v>0</v>
      </c>
      <c r="D113" s="164">
        <v>0</v>
      </c>
      <c r="E113" s="164">
        <v>0</v>
      </c>
      <c r="F113" s="164">
        <v>0</v>
      </c>
      <c r="G113" s="164">
        <v>0</v>
      </c>
      <c r="H113" s="164">
        <v>0</v>
      </c>
      <c r="I113" s="165" t="str">
        <f t="shared" si="74"/>
        <v>-</v>
      </c>
      <c r="J113" s="165">
        <f t="shared" si="71"/>
        <v>0</v>
      </c>
      <c r="K113" s="164">
        <v>0</v>
      </c>
      <c r="L113" s="164">
        <v>0</v>
      </c>
      <c r="M113" s="164">
        <v>0</v>
      </c>
      <c r="N113" s="164">
        <v>0</v>
      </c>
      <c r="O113" s="164">
        <v>0</v>
      </c>
      <c r="P113" s="164">
        <v>0</v>
      </c>
      <c r="Q113" s="165" t="str">
        <f t="shared" si="75"/>
        <v>-</v>
      </c>
      <c r="R113" s="165">
        <f t="shared" si="73"/>
        <v>0</v>
      </c>
      <c r="S113" s="164">
        <v>3021</v>
      </c>
      <c r="T113" s="164">
        <v>8384</v>
      </c>
      <c r="U113" s="164">
        <v>6677</v>
      </c>
      <c r="V113" s="164">
        <v>8465</v>
      </c>
      <c r="W113" s="164">
        <v>7108</v>
      </c>
      <c r="X113" s="165">
        <f t="shared" si="76"/>
        <v>-0.16030714707619609</v>
      </c>
      <c r="Y113" s="165">
        <f t="shared" si="77"/>
        <v>2.9144477556128129E-3</v>
      </c>
    </row>
    <row r="114" spans="1:25" x14ac:dyDescent="0.25">
      <c r="A114" s="57"/>
      <c r="B114" s="163" t="s">
        <v>128</v>
      </c>
      <c r="C114" s="164">
        <v>0</v>
      </c>
      <c r="D114" s="164">
        <v>0</v>
      </c>
      <c r="E114" s="164">
        <v>0</v>
      </c>
      <c r="F114" s="164">
        <v>0</v>
      </c>
      <c r="G114" s="164">
        <v>0</v>
      </c>
      <c r="H114" s="164">
        <v>0</v>
      </c>
      <c r="I114" s="165" t="str">
        <f t="shared" si="74"/>
        <v>-</v>
      </c>
      <c r="J114" s="165">
        <f t="shared" si="71"/>
        <v>0</v>
      </c>
      <c r="K114" s="164">
        <v>0</v>
      </c>
      <c r="L114" s="164">
        <v>0</v>
      </c>
      <c r="M114" s="164">
        <v>0</v>
      </c>
      <c r="N114" s="164">
        <v>0</v>
      </c>
      <c r="O114" s="164">
        <v>0</v>
      </c>
      <c r="P114" s="164">
        <v>0</v>
      </c>
      <c r="Q114" s="165" t="str">
        <f t="shared" si="75"/>
        <v>-</v>
      </c>
      <c r="R114" s="165">
        <f t="shared" si="73"/>
        <v>0</v>
      </c>
      <c r="S114" s="164">
        <v>1119</v>
      </c>
      <c r="T114" s="164">
        <v>3200</v>
      </c>
      <c r="U114" s="164">
        <v>3495</v>
      </c>
      <c r="V114" s="164">
        <v>3758</v>
      </c>
      <c r="W114" s="164">
        <v>1883</v>
      </c>
      <c r="X114" s="165">
        <f t="shared" si="76"/>
        <v>-0.49893560404470461</v>
      </c>
      <c r="Y114" s="165">
        <f t="shared" si="77"/>
        <v>7.7207444060480121E-4</v>
      </c>
    </row>
    <row r="115" spans="1:25" x14ac:dyDescent="0.25">
      <c r="A115" s="57"/>
      <c r="B115" s="163" t="s">
        <v>124</v>
      </c>
      <c r="C115" s="164">
        <v>0</v>
      </c>
      <c r="D115" s="164">
        <v>0</v>
      </c>
      <c r="E115" s="164">
        <v>0</v>
      </c>
      <c r="F115" s="164">
        <v>0</v>
      </c>
      <c r="G115" s="164">
        <v>0</v>
      </c>
      <c r="H115" s="164">
        <v>0</v>
      </c>
      <c r="I115" s="165" t="str">
        <f t="shared" si="74"/>
        <v>-</v>
      </c>
      <c r="J115" s="165">
        <f t="shared" si="71"/>
        <v>0</v>
      </c>
      <c r="K115" s="164">
        <v>0</v>
      </c>
      <c r="L115" s="164">
        <v>0</v>
      </c>
      <c r="M115" s="164">
        <v>0</v>
      </c>
      <c r="N115" s="164">
        <v>0</v>
      </c>
      <c r="O115" s="164">
        <v>0</v>
      </c>
      <c r="P115" s="164">
        <v>0</v>
      </c>
      <c r="Q115" s="165" t="str">
        <f t="shared" si="75"/>
        <v>-</v>
      </c>
      <c r="R115" s="165">
        <f t="shared" si="73"/>
        <v>0</v>
      </c>
      <c r="S115" s="164">
        <v>1529</v>
      </c>
      <c r="T115" s="164">
        <v>3093</v>
      </c>
      <c r="U115" s="164">
        <v>2720</v>
      </c>
      <c r="V115" s="164">
        <v>2718</v>
      </c>
      <c r="W115" s="164">
        <v>1525</v>
      </c>
      <c r="X115" s="165">
        <f t="shared" si="76"/>
        <v>-0.4389256806475349</v>
      </c>
      <c r="Y115" s="165">
        <f t="shared" si="77"/>
        <v>6.2528599146166857E-4</v>
      </c>
    </row>
    <row r="116" spans="1:25" x14ac:dyDescent="0.25">
      <c r="A116" s="57"/>
      <c r="B116" s="163" t="s">
        <v>133</v>
      </c>
      <c r="C116" s="164">
        <v>0</v>
      </c>
      <c r="D116" s="164">
        <v>0</v>
      </c>
      <c r="E116" s="164">
        <v>0</v>
      </c>
      <c r="F116" s="164">
        <v>0</v>
      </c>
      <c r="G116" s="164">
        <v>0</v>
      </c>
      <c r="H116" s="164">
        <v>0</v>
      </c>
      <c r="I116" s="165" t="str">
        <f t="shared" si="74"/>
        <v>-</v>
      </c>
      <c r="J116" s="165">
        <f t="shared" si="71"/>
        <v>0</v>
      </c>
      <c r="K116" s="164">
        <v>0</v>
      </c>
      <c r="L116" s="164">
        <v>0</v>
      </c>
      <c r="M116" s="164">
        <v>0</v>
      </c>
      <c r="N116" s="164">
        <v>0</v>
      </c>
      <c r="O116" s="164">
        <v>0</v>
      </c>
      <c r="P116" s="164">
        <v>0</v>
      </c>
      <c r="Q116" s="165" t="str">
        <f t="shared" si="75"/>
        <v>-</v>
      </c>
      <c r="R116" s="165">
        <f t="shared" si="73"/>
        <v>0</v>
      </c>
      <c r="S116" s="164">
        <v>31</v>
      </c>
      <c r="T116" s="164">
        <v>739</v>
      </c>
      <c r="U116" s="164">
        <v>822</v>
      </c>
      <c r="V116" s="164">
        <v>811</v>
      </c>
      <c r="W116" s="164">
        <v>874</v>
      </c>
      <c r="X116" s="165">
        <f t="shared" si="76"/>
        <v>7.7681874229346581E-2</v>
      </c>
      <c r="Y116" s="165">
        <f t="shared" si="77"/>
        <v>3.5836062723770378E-4</v>
      </c>
    </row>
    <row r="117" spans="1:25" x14ac:dyDescent="0.25">
      <c r="A117" s="57"/>
      <c r="B117" s="163" t="s">
        <v>136</v>
      </c>
      <c r="C117" s="164">
        <v>0</v>
      </c>
      <c r="D117" s="164">
        <v>0</v>
      </c>
      <c r="E117" s="164">
        <v>0</v>
      </c>
      <c r="F117" s="164">
        <v>0</v>
      </c>
      <c r="G117" s="164">
        <v>0</v>
      </c>
      <c r="H117" s="164">
        <v>0</v>
      </c>
      <c r="I117" s="165" t="str">
        <f t="shared" si="74"/>
        <v>-</v>
      </c>
      <c r="J117" s="165">
        <f t="shared" si="71"/>
        <v>0</v>
      </c>
      <c r="K117" s="164">
        <v>0</v>
      </c>
      <c r="L117" s="164">
        <v>0</v>
      </c>
      <c r="M117" s="164">
        <v>0</v>
      </c>
      <c r="N117" s="164">
        <v>0</v>
      </c>
      <c r="O117" s="164">
        <v>0</v>
      </c>
      <c r="P117" s="164">
        <v>0</v>
      </c>
      <c r="Q117" s="165" t="str">
        <f t="shared" si="75"/>
        <v>-</v>
      </c>
      <c r="R117" s="165">
        <f t="shared" si="73"/>
        <v>0</v>
      </c>
      <c r="S117" s="164">
        <v>17</v>
      </c>
      <c r="T117" s="164">
        <v>383</v>
      </c>
      <c r="U117" s="164">
        <v>1041</v>
      </c>
      <c r="V117" s="164">
        <v>667</v>
      </c>
      <c r="W117" s="164">
        <v>809</v>
      </c>
      <c r="X117" s="165">
        <f t="shared" si="76"/>
        <v>0.21289355322338821</v>
      </c>
      <c r="Y117" s="165">
        <f t="shared" si="77"/>
        <v>3.3170909317540318E-4</v>
      </c>
    </row>
    <row r="118" spans="1:25" x14ac:dyDescent="0.25">
      <c r="A118" s="57"/>
      <c r="B118" s="168" t="s">
        <v>150</v>
      </c>
      <c r="C118" s="169">
        <f t="shared" ref="C118:H118" si="78">C110-SUM(C111:C117)</f>
        <v>0</v>
      </c>
      <c r="D118" s="169">
        <f t="shared" si="78"/>
        <v>0</v>
      </c>
      <c r="E118" s="169">
        <f t="shared" si="78"/>
        <v>0</v>
      </c>
      <c r="F118" s="169">
        <f t="shared" si="78"/>
        <v>0</v>
      </c>
      <c r="G118" s="169">
        <f t="shared" si="78"/>
        <v>0</v>
      </c>
      <c r="H118" s="169">
        <f t="shared" si="78"/>
        <v>0</v>
      </c>
      <c r="I118" s="170" t="str">
        <f t="shared" si="74"/>
        <v>-</v>
      </c>
      <c r="J118" s="170">
        <f t="shared" si="71"/>
        <v>0</v>
      </c>
      <c r="K118" s="169">
        <f t="shared" ref="K118:P118" si="79">K110-SUM(K111:K117)</f>
        <v>0</v>
      </c>
      <c r="L118" s="169">
        <f t="shared" si="79"/>
        <v>0</v>
      </c>
      <c r="M118" s="169">
        <f t="shared" si="79"/>
        <v>0</v>
      </c>
      <c r="N118" s="169">
        <f t="shared" si="79"/>
        <v>0</v>
      </c>
      <c r="O118" s="169">
        <f t="shared" si="79"/>
        <v>0</v>
      </c>
      <c r="P118" s="169">
        <f t="shared" si="79"/>
        <v>0</v>
      </c>
      <c r="Q118" s="170" t="str">
        <f t="shared" si="75"/>
        <v>-</v>
      </c>
      <c r="R118" s="170">
        <f t="shared" si="73"/>
        <v>0</v>
      </c>
      <c r="S118" s="169">
        <f>S110-SUM(S111:S117)</f>
        <v>4200</v>
      </c>
      <c r="T118" s="169">
        <f>T110-SUM(T111:T117)</f>
        <v>15222</v>
      </c>
      <c r="U118" s="169">
        <f>U110-SUM(U111:U117)</f>
        <v>17472</v>
      </c>
      <c r="V118" s="169">
        <f>V110-SUM(V111:V117)</f>
        <v>20522</v>
      </c>
      <c r="W118" s="169">
        <f>W110-SUM(W111:W117)</f>
        <v>17314</v>
      </c>
      <c r="X118" s="170">
        <f t="shared" si="76"/>
        <v>-0.15632004677906641</v>
      </c>
      <c r="Y118" s="170">
        <f t="shared" si="77"/>
        <v>7.0991486269949694E-3</v>
      </c>
    </row>
    <row r="119" spans="1:25" x14ac:dyDescent="0.25">
      <c r="A119" s="57"/>
      <c r="B119" s="155" t="s">
        <v>53</v>
      </c>
      <c r="C119" s="153"/>
      <c r="D119" s="153"/>
      <c r="E119" s="153"/>
      <c r="F119" s="153"/>
      <c r="G119" s="153"/>
      <c r="H119" s="153"/>
      <c r="I119" s="153"/>
      <c r="J119" s="153"/>
      <c r="K119" s="153"/>
      <c r="L119" s="153"/>
      <c r="M119" s="153"/>
      <c r="N119" s="153"/>
      <c r="O119" s="153"/>
      <c r="P119" s="153"/>
      <c r="Q119" s="153"/>
      <c r="R119" s="153"/>
      <c r="S119" s="153"/>
      <c r="T119" s="153"/>
      <c r="U119" s="153"/>
      <c r="V119" s="153"/>
      <c r="W119" s="153"/>
      <c r="X119" s="153"/>
      <c r="Y119" s="153"/>
    </row>
    <row r="120" spans="1:25" x14ac:dyDescent="0.25">
      <c r="A120" s="57"/>
      <c r="B120" s="156" t="s">
        <v>73</v>
      </c>
      <c r="C120" s="176">
        <f t="shared" ref="C120:H120" si="80">C121+C124</f>
        <v>28331</v>
      </c>
      <c r="D120" s="176">
        <f t="shared" si="80"/>
        <v>47541</v>
      </c>
      <c r="E120" s="176">
        <f t="shared" si="80"/>
        <v>58685</v>
      </c>
      <c r="F120" s="176">
        <f t="shared" si="80"/>
        <v>61566</v>
      </c>
      <c r="G120" s="176">
        <f t="shared" si="80"/>
        <v>56371</v>
      </c>
      <c r="H120" s="176">
        <f t="shared" si="80"/>
        <v>58001</v>
      </c>
      <c r="I120" s="177">
        <f>IFERROR(H120/G120-1,"-")</f>
        <v>2.8915577158467931E-2</v>
      </c>
      <c r="J120" s="177">
        <f t="shared" ref="J120:J132" si="81">H120/H$8</f>
        <v>0.13254190422869941</v>
      </c>
      <c r="K120" s="176">
        <f t="shared" ref="K120:P120" si="82">K121+K124</f>
        <v>44870</v>
      </c>
      <c r="L120" s="176">
        <f t="shared" si="82"/>
        <v>74963</v>
      </c>
      <c r="M120" s="176">
        <f t="shared" si="82"/>
        <v>85636</v>
      </c>
      <c r="N120" s="176">
        <f t="shared" si="82"/>
        <v>85012</v>
      </c>
      <c r="O120" s="176">
        <f t="shared" si="82"/>
        <v>108263</v>
      </c>
      <c r="P120" s="176">
        <f t="shared" si="82"/>
        <v>110536</v>
      </c>
      <c r="Q120" s="177">
        <f>IFERROR(P120/O120-1,"-")</f>
        <v>2.0995169171369676E-2</v>
      </c>
      <c r="R120" s="177">
        <f t="shared" ref="R120:R132" si="83">P120/P$8</f>
        <v>5.5232678701970093E-2</v>
      </c>
      <c r="S120" s="176">
        <f>S121+S124</f>
        <v>73201</v>
      </c>
      <c r="T120" s="176">
        <f>T121+T124</f>
        <v>144321</v>
      </c>
      <c r="U120" s="176">
        <f>U121+U124</f>
        <v>146578</v>
      </c>
      <c r="V120" s="176">
        <f>V121+V124</f>
        <v>164634</v>
      </c>
      <c r="W120" s="176">
        <f>W121+W124</f>
        <v>168537</v>
      </c>
      <c r="X120" s="177">
        <f>IFERROR(W120/V120-1,"-")</f>
        <v>2.3707132184117574E-2</v>
      </c>
      <c r="Y120" s="177">
        <f>W120/W$8</f>
        <v>6.910414763473785E-2</v>
      </c>
    </row>
    <row r="121" spans="1:25" x14ac:dyDescent="0.25">
      <c r="A121" s="57"/>
      <c r="B121" s="159" t="s">
        <v>102</v>
      </c>
      <c r="C121" s="160">
        <v>15029</v>
      </c>
      <c r="D121" s="160">
        <v>27822</v>
      </c>
      <c r="E121" s="160">
        <v>37695</v>
      </c>
      <c r="F121" s="160">
        <v>41789</v>
      </c>
      <c r="G121" s="160">
        <v>36182</v>
      </c>
      <c r="H121" s="160">
        <v>36389</v>
      </c>
      <c r="I121" s="161">
        <f>IFERROR(H121/G121-1,"-")</f>
        <v>5.7210767785087491E-3</v>
      </c>
      <c r="J121" s="161">
        <f t="shared" si="81"/>
        <v>8.3154899966865092E-2</v>
      </c>
      <c r="K121" s="160">
        <v>33553</v>
      </c>
      <c r="L121" s="160">
        <v>47679</v>
      </c>
      <c r="M121" s="160">
        <v>51281</v>
      </c>
      <c r="N121" s="160">
        <v>49867</v>
      </c>
      <c r="O121" s="160">
        <v>69452</v>
      </c>
      <c r="P121" s="160">
        <v>69554</v>
      </c>
      <c r="Q121" s="161">
        <f>IFERROR(P121/O121-1,"-")</f>
        <v>1.4686402119450381E-3</v>
      </c>
      <c r="R121" s="161">
        <f t="shared" si="83"/>
        <v>3.4754774321821197E-2</v>
      </c>
      <c r="S121" s="160">
        <v>48582</v>
      </c>
      <c r="T121" s="160">
        <v>88976</v>
      </c>
      <c r="U121" s="160">
        <v>91656</v>
      </c>
      <c r="V121" s="160">
        <v>105634</v>
      </c>
      <c r="W121" s="160">
        <v>105943</v>
      </c>
      <c r="X121" s="161">
        <f>IFERROR(W121/V121-1,"-")</f>
        <v>2.9251945396369106E-3</v>
      </c>
      <c r="Y121" s="161">
        <f>W121/W$8</f>
        <v>4.3439130356343308E-2</v>
      </c>
    </row>
    <row r="122" spans="1:25" x14ac:dyDescent="0.25">
      <c r="A122" s="57"/>
      <c r="B122" s="163" t="s">
        <v>108</v>
      </c>
      <c r="C122" s="164">
        <v>7441</v>
      </c>
      <c r="D122" s="164">
        <v>15703</v>
      </c>
      <c r="E122" s="164">
        <v>17024</v>
      </c>
      <c r="F122" s="164">
        <v>23922</v>
      </c>
      <c r="G122" s="164">
        <v>21876</v>
      </c>
      <c r="H122" s="164">
        <v>23340</v>
      </c>
      <c r="I122" s="165">
        <f>IFERROR(H122/G122-1,"-")</f>
        <v>6.6922654964344463E-2</v>
      </c>
      <c r="J122" s="165">
        <f t="shared" si="81"/>
        <v>5.3335770843568969E-2</v>
      </c>
      <c r="K122" s="164">
        <v>18023</v>
      </c>
      <c r="L122" s="164">
        <v>23096</v>
      </c>
      <c r="M122" s="164">
        <v>23928</v>
      </c>
      <c r="N122" s="164">
        <v>19460</v>
      </c>
      <c r="O122" s="164">
        <v>33350</v>
      </c>
      <c r="P122" s="164">
        <v>31876</v>
      </c>
      <c r="Q122" s="165">
        <f>IFERROR(P122/O122-1,"-")</f>
        <v>-4.4197901049475297E-2</v>
      </c>
      <c r="R122" s="165">
        <f t="shared" si="83"/>
        <v>1.5927814162842863E-2</v>
      </c>
      <c r="S122" s="164">
        <v>25464</v>
      </c>
      <c r="T122" s="164">
        <v>40952</v>
      </c>
      <c r="U122" s="164">
        <v>43382</v>
      </c>
      <c r="V122" s="164">
        <v>55226</v>
      </c>
      <c r="W122" s="164">
        <v>55216</v>
      </c>
      <c r="X122" s="165">
        <f>IFERROR(W122/V122-1,"-")</f>
        <v>-1.8107413174950349E-4</v>
      </c>
      <c r="Y122" s="165">
        <f>W122/W$8</f>
        <v>2.2639863150522944E-2</v>
      </c>
    </row>
    <row r="123" spans="1:25" x14ac:dyDescent="0.25">
      <c r="A123" s="57"/>
      <c r="B123" s="163" t="s">
        <v>105</v>
      </c>
      <c r="C123" s="164">
        <v>7588</v>
      </c>
      <c r="D123" s="164">
        <v>12119</v>
      </c>
      <c r="E123" s="164">
        <v>20671</v>
      </c>
      <c r="F123" s="164">
        <v>17867</v>
      </c>
      <c r="G123" s="164">
        <v>14306</v>
      </c>
      <c r="H123" s="164">
        <v>13049</v>
      </c>
      <c r="I123" s="165">
        <f>IFERROR(H123/G123-1,"-")</f>
        <v>-8.7865231371452523E-2</v>
      </c>
      <c r="J123" s="165">
        <f t="shared" si="81"/>
        <v>2.9819129123296123E-2</v>
      </c>
      <c r="K123" s="164">
        <v>15530</v>
      </c>
      <c r="L123" s="164">
        <v>24583</v>
      </c>
      <c r="M123" s="164">
        <v>27353</v>
      </c>
      <c r="N123" s="164">
        <v>30407</v>
      </c>
      <c r="O123" s="164">
        <v>36102</v>
      </c>
      <c r="P123" s="164">
        <v>37678</v>
      </c>
      <c r="Q123" s="165">
        <f>IFERROR(P123/O123-1,"-")</f>
        <v>4.3654091186083877E-2</v>
      </c>
      <c r="R123" s="165">
        <f t="shared" si="83"/>
        <v>1.8826960158978334E-2</v>
      </c>
      <c r="S123" s="164">
        <v>23118</v>
      </c>
      <c r="T123" s="164">
        <v>48024</v>
      </c>
      <c r="U123" s="164">
        <v>48274</v>
      </c>
      <c r="V123" s="164">
        <v>50408</v>
      </c>
      <c r="W123" s="164">
        <v>50727</v>
      </c>
      <c r="X123" s="165">
        <f>IFERROR(W123/V123-1,"-")</f>
        <v>6.328360577686043E-3</v>
      </c>
      <c r="Y123" s="165">
        <f>W123/W$8</f>
        <v>2.0799267205820367E-2</v>
      </c>
    </row>
    <row r="124" spans="1:25" x14ac:dyDescent="0.25">
      <c r="A124" s="57"/>
      <c r="B124" s="159" t="s">
        <v>112</v>
      </c>
      <c r="C124" s="160">
        <v>13302</v>
      </c>
      <c r="D124" s="160">
        <v>19719</v>
      </c>
      <c r="E124" s="160">
        <v>20990</v>
      </c>
      <c r="F124" s="160">
        <v>19777</v>
      </c>
      <c r="G124" s="160">
        <v>20189</v>
      </c>
      <c r="H124" s="160">
        <v>21612</v>
      </c>
      <c r="I124" s="161">
        <f>IFERROR(H124/G124-1,"-")</f>
        <v>7.0483926890881232E-2</v>
      </c>
      <c r="J124" s="161">
        <f t="shared" si="81"/>
        <v>4.9387004261834302E-2</v>
      </c>
      <c r="K124" s="160">
        <v>11317</v>
      </c>
      <c r="L124" s="160">
        <v>27284</v>
      </c>
      <c r="M124" s="160">
        <v>34355</v>
      </c>
      <c r="N124" s="160">
        <v>35145</v>
      </c>
      <c r="O124" s="160">
        <v>38811</v>
      </c>
      <c r="P124" s="160">
        <v>40982</v>
      </c>
      <c r="Q124" s="161">
        <f>IFERROR(P124/O124-1,"-")</f>
        <v>5.5937749607070097E-2</v>
      </c>
      <c r="R124" s="161">
        <f t="shared" si="83"/>
        <v>2.0477904380148893E-2</v>
      </c>
      <c r="S124" s="160">
        <v>24619</v>
      </c>
      <c r="T124" s="160">
        <v>55345</v>
      </c>
      <c r="U124" s="160">
        <v>54922</v>
      </c>
      <c r="V124" s="160">
        <v>59000</v>
      </c>
      <c r="W124" s="160">
        <v>62594</v>
      </c>
      <c r="X124" s="161">
        <f>IFERROR(W124/V124-1,"-")</f>
        <v>6.0915254237288163E-2</v>
      </c>
      <c r="Y124" s="161">
        <f>W124/W$8</f>
        <v>2.5665017278394545E-2</v>
      </c>
    </row>
    <row r="125" spans="1:25" s="57" customFormat="1" x14ac:dyDescent="0.25">
      <c r="B125" s="163" t="s">
        <v>115</v>
      </c>
      <c r="C125" s="164">
        <v>151</v>
      </c>
      <c r="D125" s="164">
        <v>1181</v>
      </c>
      <c r="E125" s="164">
        <v>1911</v>
      </c>
      <c r="F125" s="164">
        <v>1575</v>
      </c>
      <c r="G125" s="164">
        <v>1483</v>
      </c>
      <c r="H125" s="164">
        <v>1288</v>
      </c>
      <c r="I125" s="165">
        <f t="shared" ref="I125:I132" si="84">IFERROR(H125/G125-1,"-")</f>
        <v>-0.131490222521915</v>
      </c>
      <c r="J125" s="165">
        <f t="shared" si="81"/>
        <v>2.9432936095337117E-3</v>
      </c>
      <c r="K125" s="164">
        <v>638</v>
      </c>
      <c r="L125" s="164">
        <v>3615</v>
      </c>
      <c r="M125" s="164">
        <v>4792</v>
      </c>
      <c r="N125" s="164">
        <v>5090</v>
      </c>
      <c r="O125" s="164">
        <v>4626</v>
      </c>
      <c r="P125" s="164">
        <v>4569</v>
      </c>
      <c r="Q125" s="165">
        <f t="shared" ref="Q125:Q132" si="85">IFERROR(P125/O125-1,"-")</f>
        <v>-1.2321660181582317E-2</v>
      </c>
      <c r="R125" s="165">
        <f t="shared" si="83"/>
        <v>2.2830399959226076E-3</v>
      </c>
      <c r="S125" s="164">
        <v>789</v>
      </c>
      <c r="T125" s="164">
        <v>6703</v>
      </c>
      <c r="U125" s="164">
        <v>6665</v>
      </c>
      <c r="V125" s="164">
        <v>6109</v>
      </c>
      <c r="W125" s="164">
        <v>5857</v>
      </c>
      <c r="X125" s="165">
        <f t="shared" ref="X125:X132" si="86">IFERROR(W125/V125-1,"-")</f>
        <v>-4.1250613848420326E-2</v>
      </c>
      <c r="Y125" s="165">
        <f t="shared" ref="Y125:Y132" si="87">W125/W$8</f>
        <v>2.4015082308137658E-3</v>
      </c>
    </row>
    <row r="126" spans="1:25" s="57" customFormat="1" x14ac:dyDescent="0.25">
      <c r="B126" s="163" t="s">
        <v>118</v>
      </c>
      <c r="C126" s="164">
        <v>1117</v>
      </c>
      <c r="D126" s="164">
        <v>1565</v>
      </c>
      <c r="E126" s="164">
        <v>2911</v>
      </c>
      <c r="F126" s="164">
        <v>2863</v>
      </c>
      <c r="G126" s="164">
        <v>2802</v>
      </c>
      <c r="H126" s="164">
        <v>3065</v>
      </c>
      <c r="I126" s="165">
        <f t="shared" si="84"/>
        <v>9.3861527480371132E-2</v>
      </c>
      <c r="J126" s="165">
        <f t="shared" si="81"/>
        <v>7.0040333177180331E-3</v>
      </c>
      <c r="K126" s="164">
        <v>1466</v>
      </c>
      <c r="L126" s="164">
        <v>3542</v>
      </c>
      <c r="M126" s="164">
        <v>5201</v>
      </c>
      <c r="N126" s="164">
        <v>4813</v>
      </c>
      <c r="O126" s="164">
        <v>5731</v>
      </c>
      <c r="P126" s="164">
        <v>6072</v>
      </c>
      <c r="Q126" s="165">
        <f t="shared" si="85"/>
        <v>5.950095969289837E-2</v>
      </c>
      <c r="R126" s="165">
        <f t="shared" si="83"/>
        <v>3.0340597188098211E-3</v>
      </c>
      <c r="S126" s="164">
        <v>2583</v>
      </c>
      <c r="T126" s="164">
        <v>8112</v>
      </c>
      <c r="U126" s="164">
        <v>7676</v>
      </c>
      <c r="V126" s="164">
        <v>8533</v>
      </c>
      <c r="W126" s="164">
        <v>9137</v>
      </c>
      <c r="X126" s="165">
        <f t="shared" si="86"/>
        <v>7.0784015000586065E-2</v>
      </c>
      <c r="Y126" s="165">
        <f t="shared" si="87"/>
        <v>3.746385641957551E-3</v>
      </c>
    </row>
    <row r="127" spans="1:25" x14ac:dyDescent="0.25">
      <c r="A127" s="57"/>
      <c r="B127" s="163" t="s">
        <v>121</v>
      </c>
      <c r="C127" s="164">
        <v>1042</v>
      </c>
      <c r="D127" s="164">
        <v>1383</v>
      </c>
      <c r="E127" s="164">
        <v>1780</v>
      </c>
      <c r="F127" s="164">
        <v>1610</v>
      </c>
      <c r="G127" s="164">
        <v>1746</v>
      </c>
      <c r="H127" s="164">
        <v>1756</v>
      </c>
      <c r="I127" s="165">
        <f t="shared" si="84"/>
        <v>5.7273768613974596E-3</v>
      </c>
      <c r="J127" s="165">
        <f t="shared" si="81"/>
        <v>4.0127512254201853E-3</v>
      </c>
      <c r="K127" s="164">
        <v>2433</v>
      </c>
      <c r="L127" s="164">
        <v>3058</v>
      </c>
      <c r="M127" s="164">
        <v>3199</v>
      </c>
      <c r="N127" s="164">
        <v>2992</v>
      </c>
      <c r="O127" s="164">
        <v>3282</v>
      </c>
      <c r="P127" s="164">
        <v>3338</v>
      </c>
      <c r="Q127" s="165">
        <f t="shared" si="85"/>
        <v>1.7062766605728141E-2</v>
      </c>
      <c r="R127" s="165">
        <f t="shared" si="83"/>
        <v>1.6679333566184426E-3</v>
      </c>
      <c r="S127" s="164">
        <v>3475</v>
      </c>
      <c r="T127" s="164">
        <v>4979</v>
      </c>
      <c r="U127" s="164">
        <v>4602</v>
      </c>
      <c r="V127" s="164">
        <v>5028</v>
      </c>
      <c r="W127" s="164">
        <v>5094</v>
      </c>
      <c r="X127" s="165">
        <f t="shared" si="86"/>
        <v>1.3126491646778149E-2</v>
      </c>
      <c r="Y127" s="165">
        <f t="shared" si="87"/>
        <v>2.088660223282452E-3</v>
      </c>
    </row>
    <row r="128" spans="1:25" x14ac:dyDescent="0.25">
      <c r="A128" s="57"/>
      <c r="B128" s="163" t="s">
        <v>128</v>
      </c>
      <c r="C128" s="164">
        <v>129</v>
      </c>
      <c r="D128" s="164">
        <v>355</v>
      </c>
      <c r="E128" s="164">
        <v>428</v>
      </c>
      <c r="F128" s="164">
        <v>368</v>
      </c>
      <c r="G128" s="164">
        <v>503</v>
      </c>
      <c r="H128" s="164">
        <v>473</v>
      </c>
      <c r="I128" s="165">
        <f t="shared" si="84"/>
        <v>-5.9642147117296207E-2</v>
      </c>
      <c r="J128" s="165">
        <f t="shared" si="81"/>
        <v>1.0808834451160293E-3</v>
      </c>
      <c r="K128" s="164">
        <v>315</v>
      </c>
      <c r="L128" s="164">
        <v>920</v>
      </c>
      <c r="M128" s="164">
        <v>1088</v>
      </c>
      <c r="N128" s="164">
        <v>1027</v>
      </c>
      <c r="O128" s="164">
        <v>1002</v>
      </c>
      <c r="P128" s="164">
        <v>1278</v>
      </c>
      <c r="Q128" s="165">
        <f t="shared" si="85"/>
        <v>0.27544910179640714</v>
      </c>
      <c r="R128" s="165">
        <f t="shared" si="83"/>
        <v>6.3859162065858885E-4</v>
      </c>
      <c r="S128" s="164">
        <v>444</v>
      </c>
      <c r="T128" s="164">
        <v>1516</v>
      </c>
      <c r="U128" s="164">
        <v>1395</v>
      </c>
      <c r="V128" s="164">
        <v>1505</v>
      </c>
      <c r="W128" s="164">
        <v>1751</v>
      </c>
      <c r="X128" s="165">
        <f t="shared" si="86"/>
        <v>0.16345514950166118</v>
      </c>
      <c r="Y128" s="165">
        <f t="shared" si="87"/>
        <v>7.1795132527828303E-4</v>
      </c>
    </row>
    <row r="129" spans="1:25" x14ac:dyDescent="0.25">
      <c r="A129" s="57"/>
      <c r="B129" s="163" t="s">
        <v>124</v>
      </c>
      <c r="C129" s="164">
        <v>104</v>
      </c>
      <c r="D129" s="164">
        <v>302</v>
      </c>
      <c r="E129" s="164">
        <v>339</v>
      </c>
      <c r="F129" s="164">
        <v>354</v>
      </c>
      <c r="G129" s="164">
        <v>332</v>
      </c>
      <c r="H129" s="164">
        <v>333</v>
      </c>
      <c r="I129" s="165">
        <f t="shared" si="84"/>
        <v>3.0120481927711218E-3</v>
      </c>
      <c r="J129" s="165">
        <f t="shared" si="81"/>
        <v>7.6096022668845195E-4</v>
      </c>
      <c r="K129" s="164">
        <v>284</v>
      </c>
      <c r="L129" s="164">
        <v>684</v>
      </c>
      <c r="M129" s="164">
        <v>737</v>
      </c>
      <c r="N129" s="164">
        <v>788</v>
      </c>
      <c r="O129" s="164">
        <v>981</v>
      </c>
      <c r="P129" s="164">
        <v>1005</v>
      </c>
      <c r="Q129" s="165">
        <f t="shared" si="85"/>
        <v>2.4464831804281273E-2</v>
      </c>
      <c r="R129" s="165">
        <f t="shared" si="83"/>
        <v>5.021788566211908E-4</v>
      </c>
      <c r="S129" s="164">
        <v>388</v>
      </c>
      <c r="T129" s="164">
        <v>1076</v>
      </c>
      <c r="U129" s="164">
        <v>1142</v>
      </c>
      <c r="V129" s="164">
        <v>1313</v>
      </c>
      <c r="W129" s="164">
        <v>1338</v>
      </c>
      <c r="X129" s="165">
        <f t="shared" si="86"/>
        <v>1.9040365575019091E-2</v>
      </c>
      <c r="Y129" s="165">
        <f t="shared" si="87"/>
        <v>5.4861157808243442E-4</v>
      </c>
    </row>
    <row r="130" spans="1:25" x14ac:dyDescent="0.25">
      <c r="A130" s="57"/>
      <c r="B130" s="163" t="s">
        <v>133</v>
      </c>
      <c r="C130" s="164">
        <v>21</v>
      </c>
      <c r="D130" s="164">
        <v>151</v>
      </c>
      <c r="E130" s="164">
        <v>150</v>
      </c>
      <c r="F130" s="164">
        <v>168</v>
      </c>
      <c r="G130" s="164">
        <v>193</v>
      </c>
      <c r="H130" s="164">
        <v>120</v>
      </c>
      <c r="I130" s="165">
        <f t="shared" si="84"/>
        <v>-0.37823834196891193</v>
      </c>
      <c r="J130" s="165">
        <f t="shared" si="81"/>
        <v>2.7421990150935206E-4</v>
      </c>
      <c r="K130" s="164">
        <v>40</v>
      </c>
      <c r="L130" s="164">
        <v>451</v>
      </c>
      <c r="M130" s="164">
        <v>651</v>
      </c>
      <c r="N130" s="164">
        <v>736</v>
      </c>
      <c r="O130" s="164">
        <v>514</v>
      </c>
      <c r="P130" s="164">
        <v>407</v>
      </c>
      <c r="Q130" s="165">
        <f t="shared" si="85"/>
        <v>-0.20817120622568097</v>
      </c>
      <c r="R130" s="165">
        <f t="shared" si="83"/>
        <v>2.0336994492022351E-4</v>
      </c>
      <c r="S130" s="164">
        <v>61</v>
      </c>
      <c r="T130" s="164">
        <v>801</v>
      </c>
      <c r="U130" s="164">
        <v>904</v>
      </c>
      <c r="V130" s="164">
        <v>707</v>
      </c>
      <c r="W130" s="164">
        <v>527</v>
      </c>
      <c r="X130" s="165">
        <f t="shared" si="86"/>
        <v>-0.25459688826025462</v>
      </c>
      <c r="Y130" s="165">
        <f t="shared" si="87"/>
        <v>2.160824377051143E-4</v>
      </c>
    </row>
    <row r="131" spans="1:25" x14ac:dyDescent="0.25">
      <c r="A131" s="57"/>
      <c r="B131" s="163" t="s">
        <v>136</v>
      </c>
      <c r="C131" s="164">
        <v>71</v>
      </c>
      <c r="D131" s="164">
        <v>143</v>
      </c>
      <c r="E131" s="164">
        <v>258</v>
      </c>
      <c r="F131" s="164">
        <v>192</v>
      </c>
      <c r="G131" s="164">
        <v>194</v>
      </c>
      <c r="H131" s="164">
        <v>216</v>
      </c>
      <c r="I131" s="165">
        <f t="shared" si="84"/>
        <v>0.11340206185567014</v>
      </c>
      <c r="J131" s="165">
        <f t="shared" si="81"/>
        <v>4.9359582271683367E-4</v>
      </c>
      <c r="K131" s="164">
        <v>95</v>
      </c>
      <c r="L131" s="164">
        <v>913</v>
      </c>
      <c r="M131" s="164">
        <v>1235</v>
      </c>
      <c r="N131" s="164">
        <v>1182</v>
      </c>
      <c r="O131" s="164">
        <v>1224</v>
      </c>
      <c r="P131" s="164">
        <v>1057</v>
      </c>
      <c r="Q131" s="165">
        <f t="shared" si="85"/>
        <v>-0.13643790849673199</v>
      </c>
      <c r="R131" s="165">
        <f t="shared" si="83"/>
        <v>5.2816224024736182E-4</v>
      </c>
      <c r="S131" s="164">
        <v>166</v>
      </c>
      <c r="T131" s="164">
        <v>1493</v>
      </c>
      <c r="U131" s="164">
        <v>1374</v>
      </c>
      <c r="V131" s="164">
        <v>1418</v>
      </c>
      <c r="W131" s="164">
        <v>1273</v>
      </c>
      <c r="X131" s="165">
        <f t="shared" si="86"/>
        <v>-0.10225669957686878</v>
      </c>
      <c r="Y131" s="165">
        <f t="shared" si="87"/>
        <v>5.2196004402013381E-4</v>
      </c>
    </row>
    <row r="132" spans="1:25" x14ac:dyDescent="0.25">
      <c r="A132" s="57"/>
      <c r="B132" s="168" t="s">
        <v>150</v>
      </c>
      <c r="C132" s="169">
        <f t="shared" ref="C132:H132" si="88">C124-SUM(C125:C131)</f>
        <v>10667</v>
      </c>
      <c r="D132" s="169">
        <f t="shared" si="88"/>
        <v>14639</v>
      </c>
      <c r="E132" s="169">
        <f t="shared" si="88"/>
        <v>13213</v>
      </c>
      <c r="F132" s="169">
        <f t="shared" si="88"/>
        <v>12647</v>
      </c>
      <c r="G132" s="169">
        <f t="shared" si="88"/>
        <v>12936</v>
      </c>
      <c r="H132" s="169">
        <f t="shared" si="88"/>
        <v>14361</v>
      </c>
      <c r="I132" s="170">
        <f t="shared" si="84"/>
        <v>0.11015769944341369</v>
      </c>
      <c r="J132" s="170">
        <f t="shared" si="81"/>
        <v>3.2817266713131704E-2</v>
      </c>
      <c r="K132" s="169">
        <f t="shared" ref="K132:P132" si="89">K124-SUM(K125:K131)</f>
        <v>6046</v>
      </c>
      <c r="L132" s="169">
        <f t="shared" si="89"/>
        <v>14101</v>
      </c>
      <c r="M132" s="169">
        <f t="shared" si="89"/>
        <v>17452</v>
      </c>
      <c r="N132" s="169">
        <f t="shared" si="89"/>
        <v>18517</v>
      </c>
      <c r="O132" s="169">
        <f t="shared" si="89"/>
        <v>21451</v>
      </c>
      <c r="P132" s="169">
        <f t="shared" si="89"/>
        <v>23256</v>
      </c>
      <c r="Q132" s="170">
        <f t="shared" si="85"/>
        <v>8.4145261293179896E-2</v>
      </c>
      <c r="R132" s="170">
        <f t="shared" si="83"/>
        <v>1.1620568646350658E-2</v>
      </c>
      <c r="S132" s="169">
        <f>S124-SUM(S125:S131)</f>
        <v>16713</v>
      </c>
      <c r="T132" s="169">
        <f>T124-SUM(T125:T131)</f>
        <v>30665</v>
      </c>
      <c r="U132" s="169">
        <f>U124-SUM(U125:U131)</f>
        <v>31164</v>
      </c>
      <c r="V132" s="169">
        <f>V124-SUM(V125:V131)</f>
        <v>34387</v>
      </c>
      <c r="W132" s="169">
        <f>W124-SUM(W125:W131)</f>
        <v>37617</v>
      </c>
      <c r="X132" s="170">
        <f t="shared" si="86"/>
        <v>9.3930845959228737E-2</v>
      </c>
      <c r="Y132" s="170">
        <f t="shared" si="87"/>
        <v>1.542385779725481E-2</v>
      </c>
    </row>
    <row r="133" spans="1:25" x14ac:dyDescent="0.25">
      <c r="A133" s="57"/>
      <c r="B133" s="155" t="s">
        <v>54</v>
      </c>
      <c r="C133" s="153"/>
      <c r="D133" s="153"/>
      <c r="E133" s="153"/>
      <c r="F133" s="153"/>
      <c r="G133" s="153"/>
      <c r="H133" s="153"/>
      <c r="I133" s="153"/>
      <c r="J133" s="153"/>
      <c r="K133" s="153"/>
      <c r="L133" s="153"/>
      <c r="M133" s="153"/>
      <c r="N133" s="153"/>
      <c r="O133" s="153"/>
      <c r="P133" s="153"/>
      <c r="Q133" s="153"/>
      <c r="R133" s="153"/>
      <c r="S133" s="153"/>
      <c r="T133" s="153"/>
      <c r="U133" s="153"/>
      <c r="V133" s="153"/>
      <c r="W133" s="153"/>
      <c r="X133" s="153"/>
      <c r="Y133" s="153"/>
    </row>
    <row r="134" spans="1:25" x14ac:dyDescent="0.25">
      <c r="A134" s="57"/>
      <c r="B134" s="156" t="s">
        <v>73</v>
      </c>
      <c r="C134" s="176">
        <f t="shared" ref="C134:H134" si="90">C135+C138</f>
        <v>2790</v>
      </c>
      <c r="D134" s="176">
        <f t="shared" si="90"/>
        <v>28464</v>
      </c>
      <c r="E134" s="176">
        <f t="shared" si="90"/>
        <v>27166</v>
      </c>
      <c r="F134" s="176">
        <f t="shared" si="90"/>
        <v>30519</v>
      </c>
      <c r="G134" s="176">
        <f t="shared" si="90"/>
        <v>29292</v>
      </c>
      <c r="H134" s="176">
        <f t="shared" si="90"/>
        <v>28515</v>
      </c>
      <c r="I134" s="177">
        <f>IFERROR(H134/G134-1,"-")</f>
        <v>-2.6526013928717784E-2</v>
      </c>
      <c r="J134" s="177">
        <f t="shared" ref="J134:J146" si="91">H134/H$8</f>
        <v>6.5161504096159784E-2</v>
      </c>
      <c r="K134" s="176">
        <f t="shared" ref="K134:P134" si="92">K135+K138</f>
        <v>5496</v>
      </c>
      <c r="L134" s="176">
        <f t="shared" si="92"/>
        <v>91426</v>
      </c>
      <c r="M134" s="176">
        <f t="shared" si="92"/>
        <v>105459</v>
      </c>
      <c r="N134" s="176">
        <f t="shared" si="92"/>
        <v>108534</v>
      </c>
      <c r="O134" s="176">
        <f t="shared" si="92"/>
        <v>104064</v>
      </c>
      <c r="P134" s="176">
        <f t="shared" si="92"/>
        <v>110145</v>
      </c>
      <c r="Q134" s="177">
        <f>IFERROR(P134/O134-1,"-")</f>
        <v>5.8435193726937174E-2</v>
      </c>
      <c r="R134" s="177">
        <f t="shared" ref="R134:R146" si="93">P134/P$8</f>
        <v>5.5037303644319455E-2</v>
      </c>
      <c r="S134" s="176">
        <f>S135+S138</f>
        <v>35882</v>
      </c>
      <c r="T134" s="176">
        <f>T135+T138</f>
        <v>132625</v>
      </c>
      <c r="U134" s="176">
        <f>U135+U138</f>
        <v>139053</v>
      </c>
      <c r="V134" s="176">
        <f>V135+V138</f>
        <v>133356</v>
      </c>
      <c r="W134" s="176">
        <f>W135+W138</f>
        <v>138660</v>
      </c>
      <c r="X134" s="177">
        <f>IFERROR(W134/V134-1,"-")</f>
        <v>3.9773238549446699E-2</v>
      </c>
      <c r="Y134" s="177">
        <f>W134/W$8</f>
        <v>5.6853872508901615E-2</v>
      </c>
    </row>
    <row r="135" spans="1:25" x14ac:dyDescent="0.25">
      <c r="A135" s="57"/>
      <c r="B135" s="159" t="s">
        <v>102</v>
      </c>
      <c r="C135" s="160">
        <v>1473</v>
      </c>
      <c r="D135" s="160">
        <v>3357</v>
      </c>
      <c r="E135" s="160">
        <v>4136</v>
      </c>
      <c r="F135" s="160">
        <v>3974</v>
      </c>
      <c r="G135" s="160">
        <v>1846</v>
      </c>
      <c r="H135" s="160">
        <v>1463</v>
      </c>
      <c r="I135" s="161">
        <f>IFERROR(H135/G135-1,"-")</f>
        <v>-0.20747562296858069</v>
      </c>
      <c r="J135" s="161">
        <f t="shared" si="91"/>
        <v>3.3431976325681836E-3</v>
      </c>
      <c r="K135" s="160">
        <v>1501</v>
      </c>
      <c r="L135" s="160">
        <v>7833</v>
      </c>
      <c r="M135" s="160">
        <v>11323</v>
      </c>
      <c r="N135" s="160">
        <v>7058</v>
      </c>
      <c r="O135" s="160">
        <v>9343</v>
      </c>
      <c r="P135" s="160">
        <v>15584</v>
      </c>
      <c r="Q135" s="161">
        <f>IFERROR(P135/O135-1,"-")</f>
        <v>0.66798672803168158</v>
      </c>
      <c r="R135" s="161">
        <f t="shared" si="93"/>
        <v>7.7870202005817278E-3</v>
      </c>
      <c r="S135" s="160">
        <v>19613</v>
      </c>
      <c r="T135" s="160">
        <v>15459</v>
      </c>
      <c r="U135" s="160">
        <v>11032</v>
      </c>
      <c r="V135" s="160">
        <v>11189</v>
      </c>
      <c r="W135" s="160">
        <v>17047</v>
      </c>
      <c r="X135" s="161">
        <f>IFERROR(W135/V135-1,"-")</f>
        <v>0.52354991509518278</v>
      </c>
      <c r="Y135" s="161">
        <f>W135/W$8</f>
        <v>6.9896723255390581E-3</v>
      </c>
    </row>
    <row r="136" spans="1:25" x14ac:dyDescent="0.25">
      <c r="A136" s="57"/>
      <c r="B136" s="163" t="s">
        <v>108</v>
      </c>
      <c r="C136" s="164">
        <v>1473</v>
      </c>
      <c r="D136" s="164">
        <v>3286</v>
      </c>
      <c r="E136" s="164">
        <v>4136</v>
      </c>
      <c r="F136" s="164">
        <v>3974</v>
      </c>
      <c r="G136" s="164">
        <v>1846</v>
      </c>
      <c r="H136" s="164">
        <v>1463</v>
      </c>
      <c r="I136" s="165">
        <f>IFERROR(H136/G136-1,"-")</f>
        <v>-0.20747562296858069</v>
      </c>
      <c r="J136" s="165">
        <f t="shared" si="91"/>
        <v>3.3431976325681836E-3</v>
      </c>
      <c r="K136" s="164">
        <v>0</v>
      </c>
      <c r="L136" s="164">
        <v>4234</v>
      </c>
      <c r="M136" s="164">
        <v>6397</v>
      </c>
      <c r="N136" s="164">
        <v>3118</v>
      </c>
      <c r="O136" s="164">
        <v>4566</v>
      </c>
      <c r="P136" s="164">
        <v>9673</v>
      </c>
      <c r="Q136" s="165">
        <f>IFERROR(P136/O136-1,"-")</f>
        <v>1.1184844502847131</v>
      </c>
      <c r="R136" s="165">
        <f t="shared" si="93"/>
        <v>4.833409034922167E-3</v>
      </c>
      <c r="S136" s="164">
        <v>16017</v>
      </c>
      <c r="T136" s="164">
        <v>10533</v>
      </c>
      <c r="U136" s="164">
        <v>7092</v>
      </c>
      <c r="V136" s="164">
        <v>6412</v>
      </c>
      <c r="W136" s="164">
        <v>11136</v>
      </c>
      <c r="X136" s="165">
        <f>IFERROR(W136/V136-1,"-")</f>
        <v>0.73674360573923892</v>
      </c>
      <c r="Y136" s="165">
        <f>W136/W$8</f>
        <v>4.5660228202735352E-3</v>
      </c>
    </row>
    <row r="137" spans="1:25" x14ac:dyDescent="0.25">
      <c r="A137" s="57"/>
      <c r="B137" s="163" t="s">
        <v>105</v>
      </c>
      <c r="C137" s="164">
        <v>0</v>
      </c>
      <c r="D137" s="164">
        <v>71</v>
      </c>
      <c r="E137" s="164">
        <v>0</v>
      </c>
      <c r="F137" s="164">
        <v>0</v>
      </c>
      <c r="G137" s="164">
        <v>0</v>
      </c>
      <c r="H137" s="164">
        <v>0</v>
      </c>
      <c r="I137" s="165" t="str">
        <f>IFERROR(H137/G137-1,"-")</f>
        <v>-</v>
      </c>
      <c r="J137" s="165">
        <f t="shared" si="91"/>
        <v>0</v>
      </c>
      <c r="K137" s="164">
        <v>1501</v>
      </c>
      <c r="L137" s="164">
        <v>3599</v>
      </c>
      <c r="M137" s="164">
        <v>4926</v>
      </c>
      <c r="N137" s="164">
        <v>3940</v>
      </c>
      <c r="O137" s="164">
        <v>4777</v>
      </c>
      <c r="P137" s="164">
        <v>5911</v>
      </c>
      <c r="Q137" s="165">
        <f>IFERROR(P137/O137-1,"-")</f>
        <v>0.23738748168306478</v>
      </c>
      <c r="R137" s="165">
        <f t="shared" si="93"/>
        <v>2.9536111656595608E-3</v>
      </c>
      <c r="S137" s="164">
        <v>3596</v>
      </c>
      <c r="T137" s="164">
        <v>4926</v>
      </c>
      <c r="U137" s="164">
        <v>3940</v>
      </c>
      <c r="V137" s="164">
        <v>4777</v>
      </c>
      <c r="W137" s="164">
        <v>5911</v>
      </c>
      <c r="X137" s="165">
        <f>IFERROR(W137/V137-1,"-")</f>
        <v>0.23738748168306478</v>
      </c>
      <c r="Y137" s="165">
        <f>W137/W$8</f>
        <v>2.4236495052655229E-3</v>
      </c>
    </row>
    <row r="138" spans="1:25" x14ac:dyDescent="0.25">
      <c r="A138" s="57"/>
      <c r="B138" s="159" t="s">
        <v>112</v>
      </c>
      <c r="C138" s="160">
        <v>1317</v>
      </c>
      <c r="D138" s="160">
        <v>25107</v>
      </c>
      <c r="E138" s="160">
        <v>23030</v>
      </c>
      <c r="F138" s="160">
        <v>26545</v>
      </c>
      <c r="G138" s="160">
        <v>27446</v>
      </c>
      <c r="H138" s="160">
        <v>27052</v>
      </c>
      <c r="I138" s="161">
        <f>IFERROR(H138/G138-1,"-")</f>
        <v>-1.4355461633753563E-2</v>
      </c>
      <c r="J138" s="161">
        <f t="shared" si="91"/>
        <v>6.1818306463591592E-2</v>
      </c>
      <c r="K138" s="160">
        <v>3995</v>
      </c>
      <c r="L138" s="160">
        <v>83593</v>
      </c>
      <c r="M138" s="160">
        <v>94136</v>
      </c>
      <c r="N138" s="160">
        <v>101476</v>
      </c>
      <c r="O138" s="160">
        <v>94721</v>
      </c>
      <c r="P138" s="160">
        <v>94561</v>
      </c>
      <c r="Q138" s="161">
        <f>IFERROR(P138/O138-1,"-")</f>
        <v>-1.6891713558767618E-3</v>
      </c>
      <c r="R138" s="161">
        <f t="shared" si="93"/>
        <v>4.7250283443737731E-2</v>
      </c>
      <c r="S138" s="160">
        <v>16269</v>
      </c>
      <c r="T138" s="160">
        <v>117166</v>
      </c>
      <c r="U138" s="160">
        <v>128021</v>
      </c>
      <c r="V138" s="160">
        <v>122167</v>
      </c>
      <c r="W138" s="160">
        <v>121613</v>
      </c>
      <c r="X138" s="161">
        <f>IFERROR(W138/V138-1,"-")</f>
        <v>-4.5347761670500031E-3</v>
      </c>
      <c r="Y138" s="161">
        <f>W138/W$8</f>
        <v>4.9864200183362552E-2</v>
      </c>
    </row>
    <row r="139" spans="1:25" s="57" customFormat="1" x14ac:dyDescent="0.25">
      <c r="B139" s="163" t="s">
        <v>115</v>
      </c>
      <c r="C139" s="164">
        <v>189</v>
      </c>
      <c r="D139" s="164">
        <v>12522</v>
      </c>
      <c r="E139" s="164">
        <v>11768</v>
      </c>
      <c r="F139" s="164">
        <v>15180</v>
      </c>
      <c r="G139" s="164">
        <v>15582</v>
      </c>
      <c r="H139" s="164">
        <v>15440</v>
      </c>
      <c r="I139" s="165">
        <f t="shared" ref="I139:I146" si="94">IFERROR(H139/G139-1,"-")</f>
        <v>-9.1130791939417755E-3</v>
      </c>
      <c r="J139" s="165">
        <f t="shared" si="91"/>
        <v>3.5282960660869965E-2</v>
      </c>
      <c r="K139" s="164">
        <v>332</v>
      </c>
      <c r="L139" s="164">
        <v>33530</v>
      </c>
      <c r="M139" s="164">
        <v>37212</v>
      </c>
      <c r="N139" s="164">
        <v>41651</v>
      </c>
      <c r="O139" s="164">
        <v>40517</v>
      </c>
      <c r="P139" s="164">
        <v>36995</v>
      </c>
      <c r="Q139" s="165">
        <f t="shared" ref="Q139:Q146" si="95">IFERROR(P139/O139-1,"-")</f>
        <v>-8.6926475306661422E-2</v>
      </c>
      <c r="R139" s="165">
        <f t="shared" si="93"/>
        <v>1.8485678408657662E-2</v>
      </c>
      <c r="S139" s="164">
        <v>853</v>
      </c>
      <c r="T139" s="164">
        <v>48980</v>
      </c>
      <c r="U139" s="164">
        <v>56831</v>
      </c>
      <c r="V139" s="164">
        <v>56099</v>
      </c>
      <c r="W139" s="164">
        <v>52435</v>
      </c>
      <c r="X139" s="165">
        <f t="shared" ref="X139:X146" si="96">IFERROR(W139/V139-1,"-")</f>
        <v>-6.531310718551131E-2</v>
      </c>
      <c r="Y139" s="165">
        <f t="shared" ref="Y139:Y146" si="97">W139/W$8</f>
        <v>2.1499587516257437E-2</v>
      </c>
    </row>
    <row r="140" spans="1:25" s="57" customFormat="1" x14ac:dyDescent="0.25">
      <c r="B140" s="163" t="s">
        <v>118</v>
      </c>
      <c r="C140" s="164">
        <v>129</v>
      </c>
      <c r="D140" s="164">
        <v>808</v>
      </c>
      <c r="E140" s="164">
        <v>1099</v>
      </c>
      <c r="F140" s="164">
        <v>994</v>
      </c>
      <c r="G140" s="164">
        <v>1121</v>
      </c>
      <c r="H140" s="164">
        <v>812</v>
      </c>
      <c r="I140" s="165">
        <f t="shared" si="94"/>
        <v>-0.27564674397859057</v>
      </c>
      <c r="J140" s="165">
        <f t="shared" si="91"/>
        <v>1.8555546668799488E-3</v>
      </c>
      <c r="K140" s="164">
        <v>474</v>
      </c>
      <c r="L140" s="164">
        <v>6132</v>
      </c>
      <c r="M140" s="164">
        <v>9236</v>
      </c>
      <c r="N140" s="164">
        <v>10259</v>
      </c>
      <c r="O140" s="164">
        <v>9305</v>
      </c>
      <c r="P140" s="164">
        <v>9745</v>
      </c>
      <c r="Q140" s="165">
        <f t="shared" si="95"/>
        <v>4.7286405158516898E-2</v>
      </c>
      <c r="R140" s="165">
        <f t="shared" si="93"/>
        <v>4.869386027635327E-3</v>
      </c>
      <c r="S140" s="164">
        <v>1834</v>
      </c>
      <c r="T140" s="164">
        <v>10335</v>
      </c>
      <c r="U140" s="164">
        <v>11253</v>
      </c>
      <c r="V140" s="164">
        <v>10426</v>
      </c>
      <c r="W140" s="164">
        <v>10557</v>
      </c>
      <c r="X140" s="165">
        <f t="shared" si="96"/>
        <v>1.2564741991175854E-2</v>
      </c>
      <c r="Y140" s="165">
        <f t="shared" si="97"/>
        <v>4.3286191553185797E-3</v>
      </c>
    </row>
    <row r="141" spans="1:25" x14ac:dyDescent="0.25">
      <c r="A141" s="57"/>
      <c r="B141" s="163" t="s">
        <v>121</v>
      </c>
      <c r="C141" s="164">
        <v>199</v>
      </c>
      <c r="D141" s="164">
        <v>3811</v>
      </c>
      <c r="E141" s="164">
        <v>2925</v>
      </c>
      <c r="F141" s="164">
        <v>3062</v>
      </c>
      <c r="G141" s="164">
        <v>2922</v>
      </c>
      <c r="H141" s="164">
        <v>2030</v>
      </c>
      <c r="I141" s="165">
        <f t="shared" si="94"/>
        <v>-0.30527036276522934</v>
      </c>
      <c r="J141" s="165">
        <f t="shared" si="91"/>
        <v>4.6388866671998718E-3</v>
      </c>
      <c r="K141" s="164">
        <v>782</v>
      </c>
      <c r="L141" s="164">
        <v>10346</v>
      </c>
      <c r="M141" s="164">
        <v>9695</v>
      </c>
      <c r="N141" s="164">
        <v>9944</v>
      </c>
      <c r="O141" s="164">
        <v>8158</v>
      </c>
      <c r="P141" s="164">
        <v>9860</v>
      </c>
      <c r="Q141" s="165">
        <f t="shared" si="95"/>
        <v>0.20862956607011518</v>
      </c>
      <c r="R141" s="165">
        <f t="shared" si="93"/>
        <v>4.9268492798855128E-3</v>
      </c>
      <c r="S141" s="164">
        <v>4650</v>
      </c>
      <c r="T141" s="164">
        <v>12620</v>
      </c>
      <c r="U141" s="164">
        <v>13006</v>
      </c>
      <c r="V141" s="164">
        <v>11080</v>
      </c>
      <c r="W141" s="164">
        <v>11890</v>
      </c>
      <c r="X141" s="165">
        <f t="shared" si="96"/>
        <v>7.3104693140794152E-2</v>
      </c>
      <c r="Y141" s="165">
        <f t="shared" si="97"/>
        <v>4.8751806153962225E-3</v>
      </c>
    </row>
    <row r="142" spans="1:25" x14ac:dyDescent="0.25">
      <c r="A142" s="57"/>
      <c r="B142" s="163" t="s">
        <v>128</v>
      </c>
      <c r="C142" s="164">
        <v>95</v>
      </c>
      <c r="D142" s="164">
        <v>2435</v>
      </c>
      <c r="E142" s="164">
        <v>1733</v>
      </c>
      <c r="F142" s="164">
        <v>1118</v>
      </c>
      <c r="G142" s="164">
        <v>789</v>
      </c>
      <c r="H142" s="164">
        <v>310</v>
      </c>
      <c r="I142" s="165">
        <f t="shared" si="94"/>
        <v>-0.60709759188846646</v>
      </c>
      <c r="J142" s="165">
        <f t="shared" si="91"/>
        <v>7.0840141223249282E-4</v>
      </c>
      <c r="K142" s="164">
        <v>50</v>
      </c>
      <c r="L142" s="164">
        <v>2419</v>
      </c>
      <c r="M142" s="164">
        <v>2462</v>
      </c>
      <c r="N142" s="164">
        <v>1959</v>
      </c>
      <c r="O142" s="164">
        <v>1949</v>
      </c>
      <c r="P142" s="164">
        <v>1839</v>
      </c>
      <c r="Q142" s="165">
        <f t="shared" si="95"/>
        <v>-5.643919958953314E-2</v>
      </c>
      <c r="R142" s="165">
        <f t="shared" si="93"/>
        <v>9.189123555486267E-4</v>
      </c>
      <c r="S142" s="164">
        <v>260</v>
      </c>
      <c r="T142" s="164">
        <v>4195</v>
      </c>
      <c r="U142" s="164">
        <v>3077</v>
      </c>
      <c r="V142" s="164">
        <v>2738</v>
      </c>
      <c r="W142" s="164">
        <v>2149</v>
      </c>
      <c r="X142" s="165">
        <f t="shared" si="96"/>
        <v>-0.21512052593133679</v>
      </c>
      <c r="Y142" s="165">
        <f t="shared" si="97"/>
        <v>8.8114071845975456E-4</v>
      </c>
    </row>
    <row r="143" spans="1:25" x14ac:dyDescent="0.25">
      <c r="A143" s="57"/>
      <c r="B143" s="163" t="s">
        <v>124</v>
      </c>
      <c r="C143" s="164">
        <v>89</v>
      </c>
      <c r="D143" s="164">
        <v>205</v>
      </c>
      <c r="E143" s="164">
        <v>505</v>
      </c>
      <c r="F143" s="164">
        <v>629</v>
      </c>
      <c r="G143" s="164">
        <v>0</v>
      </c>
      <c r="H143" s="164">
        <v>0</v>
      </c>
      <c r="I143" s="165" t="str">
        <f t="shared" si="94"/>
        <v>-</v>
      </c>
      <c r="J143" s="165">
        <f t="shared" si="91"/>
        <v>0</v>
      </c>
      <c r="K143" s="164">
        <v>90</v>
      </c>
      <c r="L143" s="164">
        <v>1945</v>
      </c>
      <c r="M143" s="164">
        <v>2164</v>
      </c>
      <c r="N143" s="164">
        <v>2517</v>
      </c>
      <c r="O143" s="164">
        <v>2202</v>
      </c>
      <c r="P143" s="164">
        <v>2424</v>
      </c>
      <c r="Q143" s="165">
        <f t="shared" si="95"/>
        <v>0.10081743869209814</v>
      </c>
      <c r="R143" s="165">
        <f t="shared" si="93"/>
        <v>1.2112254213430512E-3</v>
      </c>
      <c r="S143" s="164">
        <v>583</v>
      </c>
      <c r="T143" s="164">
        <v>2669</v>
      </c>
      <c r="U143" s="164">
        <v>3146</v>
      </c>
      <c r="V143" s="164">
        <v>2202</v>
      </c>
      <c r="W143" s="164">
        <v>2424</v>
      </c>
      <c r="X143" s="165">
        <f t="shared" si="96"/>
        <v>0.10081743869209814</v>
      </c>
      <c r="Y143" s="165">
        <f t="shared" si="97"/>
        <v>9.9389720872333407E-4</v>
      </c>
    </row>
    <row r="144" spans="1:25" x14ac:dyDescent="0.25">
      <c r="A144" s="57"/>
      <c r="B144" s="163" t="s">
        <v>133</v>
      </c>
      <c r="C144" s="164">
        <v>0</v>
      </c>
      <c r="D144" s="164">
        <v>79</v>
      </c>
      <c r="E144" s="164">
        <v>139</v>
      </c>
      <c r="F144" s="164">
        <v>6</v>
      </c>
      <c r="G144" s="164">
        <v>0</v>
      </c>
      <c r="H144" s="164">
        <v>0</v>
      </c>
      <c r="I144" s="165" t="str">
        <f t="shared" si="94"/>
        <v>-</v>
      </c>
      <c r="J144" s="165">
        <f t="shared" si="91"/>
        <v>0</v>
      </c>
      <c r="K144" s="164">
        <v>15</v>
      </c>
      <c r="L144" s="164">
        <v>1561</v>
      </c>
      <c r="M144" s="164">
        <v>1814</v>
      </c>
      <c r="N144" s="164">
        <v>1773</v>
      </c>
      <c r="O144" s="164">
        <v>2022</v>
      </c>
      <c r="P144" s="164">
        <v>1523</v>
      </c>
      <c r="Q144" s="165">
        <f t="shared" si="95"/>
        <v>-0.24678536102868442</v>
      </c>
      <c r="R144" s="165">
        <f t="shared" si="93"/>
        <v>7.6101333197420252E-4</v>
      </c>
      <c r="S144" s="164">
        <v>34</v>
      </c>
      <c r="T144" s="164">
        <v>1953</v>
      </c>
      <c r="U144" s="164">
        <v>1779</v>
      </c>
      <c r="V144" s="164">
        <v>2022</v>
      </c>
      <c r="W144" s="164">
        <v>1523</v>
      </c>
      <c r="X144" s="165">
        <f t="shared" si="96"/>
        <v>-0.24678536102868442</v>
      </c>
      <c r="Y144" s="165">
        <f t="shared" si="97"/>
        <v>6.244659442597516E-4</v>
      </c>
    </row>
    <row r="145" spans="1:25" x14ac:dyDescent="0.25">
      <c r="A145" s="57"/>
      <c r="B145" s="163" t="s">
        <v>136</v>
      </c>
      <c r="C145" s="164">
        <v>2</v>
      </c>
      <c r="D145" s="164">
        <v>49</v>
      </c>
      <c r="E145" s="164">
        <v>62</v>
      </c>
      <c r="F145" s="164">
        <v>54</v>
      </c>
      <c r="G145" s="164">
        <v>0</v>
      </c>
      <c r="H145" s="164">
        <v>0</v>
      </c>
      <c r="I145" s="165" t="str">
        <f t="shared" si="94"/>
        <v>-</v>
      </c>
      <c r="J145" s="165">
        <f t="shared" si="91"/>
        <v>0</v>
      </c>
      <c r="K145" s="164">
        <v>4</v>
      </c>
      <c r="L145" s="164">
        <v>686</v>
      </c>
      <c r="M145" s="164">
        <v>1244</v>
      </c>
      <c r="N145" s="164">
        <v>1209</v>
      </c>
      <c r="O145" s="164">
        <v>823</v>
      </c>
      <c r="P145" s="164">
        <v>773</v>
      </c>
      <c r="Q145" s="165">
        <f t="shared" si="95"/>
        <v>-6.0753341433778862E-2</v>
      </c>
      <c r="R145" s="165">
        <f t="shared" si="93"/>
        <v>3.8625299121211983E-4</v>
      </c>
      <c r="S145" s="164">
        <v>43</v>
      </c>
      <c r="T145" s="164">
        <v>1306</v>
      </c>
      <c r="U145" s="164">
        <v>1263</v>
      </c>
      <c r="V145" s="164">
        <v>823</v>
      </c>
      <c r="W145" s="164">
        <v>773</v>
      </c>
      <c r="X145" s="165">
        <f t="shared" si="96"/>
        <v>-6.0753341433778862E-2</v>
      </c>
      <c r="Y145" s="165">
        <f t="shared" si="97"/>
        <v>3.1694824354089822E-4</v>
      </c>
    </row>
    <row r="146" spans="1:25" x14ac:dyDescent="0.25">
      <c r="A146" s="57"/>
      <c r="B146" s="168" t="s">
        <v>150</v>
      </c>
      <c r="C146" s="169">
        <f t="shared" ref="C146:H146" si="98">C138-SUM(C139:C145)</f>
        <v>614</v>
      </c>
      <c r="D146" s="169">
        <f t="shared" si="98"/>
        <v>5198</v>
      </c>
      <c r="E146" s="169">
        <f t="shared" si="98"/>
        <v>4799</v>
      </c>
      <c r="F146" s="169">
        <f t="shared" si="98"/>
        <v>5502</v>
      </c>
      <c r="G146" s="169">
        <f t="shared" si="98"/>
        <v>7032</v>
      </c>
      <c r="H146" s="169">
        <f t="shared" si="98"/>
        <v>8460</v>
      </c>
      <c r="I146" s="170">
        <f t="shared" si="94"/>
        <v>0.20307167235494883</v>
      </c>
      <c r="J146" s="170">
        <f t="shared" si="91"/>
        <v>1.9332503056409319E-2</v>
      </c>
      <c r="K146" s="169">
        <f t="shared" ref="K146:P146" si="99">K138-SUM(K139:K145)</f>
        <v>2248</v>
      </c>
      <c r="L146" s="169">
        <f t="shared" si="99"/>
        <v>26974</v>
      </c>
      <c r="M146" s="169">
        <f t="shared" si="99"/>
        <v>30309</v>
      </c>
      <c r="N146" s="169">
        <f t="shared" si="99"/>
        <v>32164</v>
      </c>
      <c r="O146" s="169">
        <f t="shared" si="99"/>
        <v>29745</v>
      </c>
      <c r="P146" s="169">
        <f t="shared" si="99"/>
        <v>31402</v>
      </c>
      <c r="Q146" s="170">
        <f t="shared" si="95"/>
        <v>5.5706841485964054E-2</v>
      </c>
      <c r="R146" s="170">
        <f t="shared" si="93"/>
        <v>1.5690965627481224E-2</v>
      </c>
      <c r="S146" s="169">
        <f>S138-SUM(S139:S145)</f>
        <v>8012</v>
      </c>
      <c r="T146" s="169">
        <f>T138-SUM(T139:T145)</f>
        <v>35108</v>
      </c>
      <c r="U146" s="169">
        <f>U138-SUM(U139:U145)</f>
        <v>37666</v>
      </c>
      <c r="V146" s="169">
        <f>V138-SUM(V139:V145)</f>
        <v>36777</v>
      </c>
      <c r="W146" s="169">
        <f>W138-SUM(W139:W145)</f>
        <v>39862</v>
      </c>
      <c r="X146" s="170">
        <f t="shared" si="96"/>
        <v>8.3883949207385067E-2</v>
      </c>
      <c r="Y146" s="170">
        <f t="shared" si="97"/>
        <v>1.6344360781406577E-2</v>
      </c>
    </row>
    <row r="147" spans="1:25" x14ac:dyDescent="0.25">
      <c r="A147" s="57"/>
      <c r="B147" s="155" t="s">
        <v>55</v>
      </c>
      <c r="C147" s="153"/>
      <c r="D147" s="153"/>
      <c r="E147" s="153"/>
      <c r="F147" s="153"/>
      <c r="G147" s="153"/>
      <c r="H147" s="153"/>
      <c r="I147" s="153"/>
      <c r="J147" s="153"/>
      <c r="K147" s="153"/>
      <c r="L147" s="153"/>
      <c r="M147" s="153"/>
      <c r="N147" s="153"/>
      <c r="O147" s="153"/>
      <c r="P147" s="153"/>
      <c r="Q147" s="153"/>
      <c r="R147" s="153"/>
      <c r="S147" s="153"/>
      <c r="T147" s="153"/>
      <c r="U147" s="153"/>
      <c r="V147" s="153"/>
      <c r="W147" s="153"/>
      <c r="X147" s="153"/>
      <c r="Y147" s="153"/>
    </row>
    <row r="148" spans="1:25" x14ac:dyDescent="0.25">
      <c r="A148" s="57"/>
      <c r="B148" s="156" t="s">
        <v>73</v>
      </c>
      <c r="C148" s="176">
        <f t="shared" ref="C148:H148" si="100">C149+C152</f>
        <v>29146</v>
      </c>
      <c r="D148" s="176">
        <f t="shared" si="100"/>
        <v>46312</v>
      </c>
      <c r="E148" s="176">
        <f t="shared" si="100"/>
        <v>71800</v>
      </c>
      <c r="F148" s="176">
        <f t="shared" si="100"/>
        <v>66656</v>
      </c>
      <c r="G148" s="176">
        <f t="shared" si="100"/>
        <v>71025</v>
      </c>
      <c r="H148" s="176">
        <f t="shared" si="100"/>
        <v>73415</v>
      </c>
      <c r="I148" s="177">
        <f>IFERROR(H148/G148-1,"-")</f>
        <v>3.3650123196057757E-2</v>
      </c>
      <c r="J148" s="177">
        <f t="shared" ref="J148:J160" si="101">H148/H$8</f>
        <v>0.16776545057757566</v>
      </c>
      <c r="K148" s="176">
        <f t="shared" ref="K148:P148" si="102">K149+K152</f>
        <v>85484</v>
      </c>
      <c r="L148" s="176">
        <f t="shared" si="102"/>
        <v>223164</v>
      </c>
      <c r="M148" s="176">
        <f t="shared" si="102"/>
        <v>219675</v>
      </c>
      <c r="N148" s="176">
        <f t="shared" si="102"/>
        <v>258552</v>
      </c>
      <c r="O148" s="176">
        <f t="shared" si="102"/>
        <v>238436</v>
      </c>
      <c r="P148" s="176">
        <f t="shared" si="102"/>
        <v>215054</v>
      </c>
      <c r="Q148" s="177">
        <f>IFERROR(P148/O148-1,"-")</f>
        <v>-9.8064050730594321E-2</v>
      </c>
      <c r="R148" s="177">
        <f t="shared" ref="R148:R160" si="103">P148/P$8</f>
        <v>0.10745828042966522</v>
      </c>
      <c r="S148" s="176">
        <f>S149+S152</f>
        <v>29252</v>
      </c>
      <c r="T148" s="176">
        <f>T149+T152</f>
        <v>63430</v>
      </c>
      <c r="U148" s="176">
        <f>U149+U152</f>
        <v>67229</v>
      </c>
      <c r="V148" s="176">
        <f>V149+V152</f>
        <v>63525</v>
      </c>
      <c r="W148" s="176">
        <f>W149+W152</f>
        <v>54238</v>
      </c>
      <c r="X148" s="177">
        <f>IFERROR(W148/V148-1,"-")</f>
        <v>-0.14619441164895708</v>
      </c>
      <c r="Y148" s="177">
        <f>W148/W$8</f>
        <v>2.223886006878556E-2</v>
      </c>
    </row>
    <row r="149" spans="1:25" x14ac:dyDescent="0.25">
      <c r="A149" s="57"/>
      <c r="B149" s="159" t="s">
        <v>102</v>
      </c>
      <c r="C149" s="160">
        <v>17177</v>
      </c>
      <c r="D149" s="160">
        <v>15766</v>
      </c>
      <c r="E149" s="160">
        <v>27881</v>
      </c>
      <c r="F149" s="160">
        <v>23017</v>
      </c>
      <c r="G149" s="160">
        <v>20545</v>
      </c>
      <c r="H149" s="160">
        <v>24796</v>
      </c>
      <c r="I149" s="161">
        <f>IFERROR(H149/G149-1,"-")</f>
        <v>0.20691165733755179</v>
      </c>
      <c r="J149" s="161">
        <f t="shared" si="101"/>
        <v>5.6662972315215776E-2</v>
      </c>
      <c r="K149" s="160">
        <v>53355</v>
      </c>
      <c r="L149" s="160">
        <v>72293</v>
      </c>
      <c r="M149" s="160">
        <v>52708</v>
      </c>
      <c r="N149" s="160">
        <v>72794</v>
      </c>
      <c r="O149" s="160">
        <v>64309</v>
      </c>
      <c r="P149" s="160">
        <v>51936</v>
      </c>
      <c r="Q149" s="161">
        <f>IFERROR(P149/O149-1,"-")</f>
        <v>-0.19239919762397173</v>
      </c>
      <c r="R149" s="161">
        <f t="shared" si="103"/>
        <v>2.5951404077092698E-2</v>
      </c>
      <c r="S149" s="160">
        <v>19696</v>
      </c>
      <c r="T149" s="160">
        <v>33178</v>
      </c>
      <c r="U149" s="160">
        <v>31381</v>
      </c>
      <c r="V149" s="160">
        <v>27489</v>
      </c>
      <c r="W149" s="160">
        <v>19424</v>
      </c>
      <c r="X149" s="161">
        <f>IFERROR(W149/V149-1,"-")</f>
        <v>-0.29339008330604965</v>
      </c>
      <c r="Y149" s="161">
        <f>W149/W$8</f>
        <v>7.9642984250173441E-3</v>
      </c>
    </row>
    <row r="150" spans="1:25" x14ac:dyDescent="0.25">
      <c r="A150" s="57"/>
      <c r="B150" s="163" t="s">
        <v>108</v>
      </c>
      <c r="C150" s="164">
        <v>15721</v>
      </c>
      <c r="D150" s="164">
        <v>7750</v>
      </c>
      <c r="E150" s="164">
        <v>16574</v>
      </c>
      <c r="F150" s="164">
        <v>9173</v>
      </c>
      <c r="G150" s="164">
        <v>8086</v>
      </c>
      <c r="H150" s="164">
        <v>9982</v>
      </c>
      <c r="I150" s="165">
        <f>IFERROR(H150/G150-1,"-")</f>
        <v>0.23447934701953987</v>
      </c>
      <c r="J150" s="165">
        <f t="shared" si="101"/>
        <v>2.2810525473886269E-2</v>
      </c>
      <c r="K150" s="164">
        <v>36092</v>
      </c>
      <c r="L150" s="164">
        <v>46924</v>
      </c>
      <c r="M150" s="164">
        <v>31864</v>
      </c>
      <c r="N150" s="164">
        <v>43331</v>
      </c>
      <c r="O150" s="164">
        <v>30854</v>
      </c>
      <c r="P150" s="164">
        <v>27641</v>
      </c>
      <c r="Q150" s="165">
        <f>IFERROR(P150/O150-1,"-")</f>
        <v>-0.10413560640435604</v>
      </c>
      <c r="R150" s="165">
        <f t="shared" si="103"/>
        <v>1.3811667438672969E-2</v>
      </c>
      <c r="S150" s="164">
        <v>16871</v>
      </c>
      <c r="T150" s="164">
        <v>23911</v>
      </c>
      <c r="U150" s="164">
        <v>22049</v>
      </c>
      <c r="V150" s="164">
        <v>17905</v>
      </c>
      <c r="W150" s="164">
        <v>8330</v>
      </c>
      <c r="X150" s="165">
        <f>IFERROR(W150/V150-1,"-")</f>
        <v>-0.53476682490924321</v>
      </c>
      <c r="Y150" s="165">
        <f>W150/W$8</f>
        <v>3.4154965959840647E-3</v>
      </c>
    </row>
    <row r="151" spans="1:25" x14ac:dyDescent="0.25">
      <c r="A151" s="57"/>
      <c r="B151" s="163" t="s">
        <v>105</v>
      </c>
      <c r="C151" s="164">
        <v>1456</v>
      </c>
      <c r="D151" s="164">
        <v>8016</v>
      </c>
      <c r="E151" s="164">
        <v>11307</v>
      </c>
      <c r="F151" s="164">
        <v>13844</v>
      </c>
      <c r="G151" s="164">
        <v>12459</v>
      </c>
      <c r="H151" s="164">
        <v>14814</v>
      </c>
      <c r="I151" s="165">
        <f>IFERROR(H151/G151-1,"-")</f>
        <v>0.18901998555261268</v>
      </c>
      <c r="J151" s="165">
        <f t="shared" si="101"/>
        <v>3.3852446841329507E-2</v>
      </c>
      <c r="K151" s="164">
        <v>17263</v>
      </c>
      <c r="L151" s="164">
        <v>25369</v>
      </c>
      <c r="M151" s="164">
        <v>20844</v>
      </c>
      <c r="N151" s="164">
        <v>29463</v>
      </c>
      <c r="O151" s="164">
        <v>33455</v>
      </c>
      <c r="P151" s="164">
        <v>24295</v>
      </c>
      <c r="Q151" s="165">
        <f>IFERROR(P151/O151-1,"-")</f>
        <v>-0.2738006277088626</v>
      </c>
      <c r="R151" s="165">
        <f t="shared" si="103"/>
        <v>1.213973663841973E-2</v>
      </c>
      <c r="S151" s="164">
        <v>2825</v>
      </c>
      <c r="T151" s="164">
        <v>9267</v>
      </c>
      <c r="U151" s="164">
        <v>9332</v>
      </c>
      <c r="V151" s="164">
        <v>9584</v>
      </c>
      <c r="W151" s="164">
        <v>11094</v>
      </c>
      <c r="X151" s="165">
        <f>IFERROR(W151/V151-1,"-")</f>
        <v>0.15755425709515869</v>
      </c>
      <c r="Y151" s="165">
        <f>W151/W$8</f>
        <v>4.5488018290332794E-3</v>
      </c>
    </row>
    <row r="152" spans="1:25" x14ac:dyDescent="0.25">
      <c r="A152" s="57"/>
      <c r="B152" s="159" t="s">
        <v>112</v>
      </c>
      <c r="C152" s="160">
        <v>11969</v>
      </c>
      <c r="D152" s="160">
        <v>30546</v>
      </c>
      <c r="E152" s="160">
        <v>43919</v>
      </c>
      <c r="F152" s="160">
        <v>43639</v>
      </c>
      <c r="G152" s="160">
        <v>50480</v>
      </c>
      <c r="H152" s="160">
        <v>48619</v>
      </c>
      <c r="I152" s="161">
        <f>IFERROR(H152/G152-1,"-")</f>
        <v>-3.686608557844695E-2</v>
      </c>
      <c r="J152" s="161">
        <f t="shared" si="101"/>
        <v>0.11110247826235989</v>
      </c>
      <c r="K152" s="160">
        <v>32129</v>
      </c>
      <c r="L152" s="160">
        <v>150871</v>
      </c>
      <c r="M152" s="160">
        <v>166967</v>
      </c>
      <c r="N152" s="160">
        <v>185758</v>
      </c>
      <c r="O152" s="160">
        <v>174127</v>
      </c>
      <c r="P152" s="160">
        <v>163118</v>
      </c>
      <c r="Q152" s="161">
        <f>IFERROR(P152/O152-1,"-")</f>
        <v>-6.3223968712491474E-2</v>
      </c>
      <c r="R152" s="161">
        <f t="shared" si="103"/>
        <v>8.1506876352572533E-2</v>
      </c>
      <c r="S152" s="160">
        <v>9556</v>
      </c>
      <c r="T152" s="160">
        <v>30252</v>
      </c>
      <c r="U152" s="160">
        <v>35848</v>
      </c>
      <c r="V152" s="160">
        <v>36036</v>
      </c>
      <c r="W152" s="160">
        <v>34814</v>
      </c>
      <c r="X152" s="161">
        <f>IFERROR(W152/V152-1,"-")</f>
        <v>-3.3910533910533891E-2</v>
      </c>
      <c r="Y152" s="161">
        <f>W152/W$8</f>
        <v>1.4274561643768216E-2</v>
      </c>
    </row>
    <row r="153" spans="1:25" s="57" customFormat="1" x14ac:dyDescent="0.25">
      <c r="B153" s="163" t="s">
        <v>115</v>
      </c>
      <c r="C153" s="164">
        <v>1208</v>
      </c>
      <c r="D153" s="164">
        <v>7610</v>
      </c>
      <c r="E153" s="164">
        <v>20644</v>
      </c>
      <c r="F153" s="164">
        <v>15403</v>
      </c>
      <c r="G153" s="164">
        <v>17540</v>
      </c>
      <c r="H153" s="164">
        <v>15767</v>
      </c>
      <c r="I153" s="165">
        <f t="shared" ref="I153:I160" si="104">IFERROR(H153/G153-1,"-")</f>
        <v>-0.10108323831242871</v>
      </c>
      <c r="J153" s="165">
        <f t="shared" si="101"/>
        <v>3.6030209892482949E-2</v>
      </c>
      <c r="K153" s="164">
        <v>2429</v>
      </c>
      <c r="L153" s="164">
        <v>77578</v>
      </c>
      <c r="M153" s="164">
        <v>84761</v>
      </c>
      <c r="N153" s="164">
        <v>88818</v>
      </c>
      <c r="O153" s="164">
        <v>89468</v>
      </c>
      <c r="P153" s="164">
        <v>88698</v>
      </c>
      <c r="Q153" s="165">
        <f t="shared" ref="Q153:Q160" si="105">IFERROR(P153/O153-1,"-")</f>
        <v>-8.606429114320191E-3</v>
      </c>
      <c r="R153" s="165">
        <f t="shared" si="103"/>
        <v>4.4320656939886939E-2</v>
      </c>
      <c r="S153" s="164">
        <v>460</v>
      </c>
      <c r="T153" s="164">
        <v>10614</v>
      </c>
      <c r="U153" s="164">
        <v>11900</v>
      </c>
      <c r="V153" s="164">
        <v>10154</v>
      </c>
      <c r="W153" s="164">
        <v>11188</v>
      </c>
      <c r="X153" s="165">
        <f t="shared" ref="X153:X160" si="106">IFERROR(W153/V153-1,"-")</f>
        <v>0.10183179042741775</v>
      </c>
      <c r="Y153" s="165">
        <f t="shared" ref="Y153:Y160" si="107">W153/W$8</f>
        <v>4.5873440475233751E-3</v>
      </c>
    </row>
    <row r="154" spans="1:25" s="57" customFormat="1" x14ac:dyDescent="0.25">
      <c r="B154" s="163" t="s">
        <v>118</v>
      </c>
      <c r="C154" s="164">
        <v>3838</v>
      </c>
      <c r="D154" s="164">
        <v>6262</v>
      </c>
      <c r="E154" s="164">
        <v>5310</v>
      </c>
      <c r="F154" s="164">
        <v>6018</v>
      </c>
      <c r="G154" s="164">
        <v>6797</v>
      </c>
      <c r="H154" s="164">
        <v>6585</v>
      </c>
      <c r="I154" s="165">
        <f t="shared" si="104"/>
        <v>-3.1190230984257772E-2</v>
      </c>
      <c r="J154" s="165">
        <f t="shared" si="101"/>
        <v>1.5047817095325693E-2</v>
      </c>
      <c r="K154" s="164">
        <v>4620</v>
      </c>
      <c r="L154" s="164">
        <v>12879</v>
      </c>
      <c r="M154" s="164">
        <v>11196</v>
      </c>
      <c r="N154" s="164">
        <v>13017</v>
      </c>
      <c r="O154" s="164">
        <v>13561</v>
      </c>
      <c r="P154" s="164">
        <v>12692</v>
      </c>
      <c r="Q154" s="165">
        <f t="shared" si="105"/>
        <v>-6.4080819998525218E-2</v>
      </c>
      <c r="R154" s="165">
        <f t="shared" si="103"/>
        <v>6.3419443266031373E-3</v>
      </c>
      <c r="S154" s="164">
        <v>1758</v>
      </c>
      <c r="T154" s="164">
        <v>5549</v>
      </c>
      <c r="U154" s="164">
        <v>5644</v>
      </c>
      <c r="V154" s="164">
        <v>5617</v>
      </c>
      <c r="W154" s="164">
        <v>5464</v>
      </c>
      <c r="X154" s="165">
        <f t="shared" si="106"/>
        <v>-2.7238739540680124E-2</v>
      </c>
      <c r="Y154" s="165">
        <f t="shared" si="107"/>
        <v>2.2403689556370864E-3</v>
      </c>
    </row>
    <row r="155" spans="1:25" x14ac:dyDescent="0.25">
      <c r="A155" s="57"/>
      <c r="B155" s="163" t="s">
        <v>121</v>
      </c>
      <c r="C155" s="164">
        <v>2901</v>
      </c>
      <c r="D155" s="164">
        <v>3980</v>
      </c>
      <c r="E155" s="164">
        <v>6158</v>
      </c>
      <c r="F155" s="164">
        <v>4444</v>
      </c>
      <c r="G155" s="164">
        <v>4982</v>
      </c>
      <c r="H155" s="164">
        <v>5983</v>
      </c>
      <c r="I155" s="165">
        <f t="shared" si="104"/>
        <v>0.20092332396627866</v>
      </c>
      <c r="J155" s="165">
        <f t="shared" si="101"/>
        <v>1.3672147256087111E-2</v>
      </c>
      <c r="K155" s="164">
        <v>8841</v>
      </c>
      <c r="L155" s="164">
        <v>14247</v>
      </c>
      <c r="M155" s="164">
        <v>16766</v>
      </c>
      <c r="N155" s="164">
        <v>20595</v>
      </c>
      <c r="O155" s="164">
        <v>19429</v>
      </c>
      <c r="P155" s="164">
        <v>15654</v>
      </c>
      <c r="Q155" s="165">
        <f t="shared" si="105"/>
        <v>-0.19429718462092749</v>
      </c>
      <c r="R155" s="165">
        <f t="shared" si="103"/>
        <v>7.8219978323861884E-3</v>
      </c>
      <c r="S155" s="164">
        <v>2712</v>
      </c>
      <c r="T155" s="164">
        <v>4719</v>
      </c>
      <c r="U155" s="164">
        <v>5924</v>
      </c>
      <c r="V155" s="164">
        <v>8755</v>
      </c>
      <c r="W155" s="164">
        <v>7128</v>
      </c>
      <c r="X155" s="165">
        <f t="shared" si="106"/>
        <v>-0.18583666476299254</v>
      </c>
      <c r="Y155" s="165">
        <f t="shared" si="107"/>
        <v>2.9226482276319826E-3</v>
      </c>
    </row>
    <row r="156" spans="1:25" x14ac:dyDescent="0.25">
      <c r="A156" s="57"/>
      <c r="B156" s="163" t="s">
        <v>128</v>
      </c>
      <c r="C156" s="164">
        <v>268</v>
      </c>
      <c r="D156" s="164">
        <v>1006</v>
      </c>
      <c r="E156" s="164">
        <v>826</v>
      </c>
      <c r="F156" s="164">
        <v>1473</v>
      </c>
      <c r="G156" s="164">
        <v>1735</v>
      </c>
      <c r="H156" s="164">
        <v>2013</v>
      </c>
      <c r="I156" s="165">
        <f t="shared" si="104"/>
        <v>0.1602305475504322</v>
      </c>
      <c r="J156" s="165">
        <f t="shared" si="101"/>
        <v>4.6000388478193805E-3</v>
      </c>
      <c r="K156" s="164">
        <v>1429</v>
      </c>
      <c r="L156" s="164">
        <v>5454</v>
      </c>
      <c r="M156" s="164">
        <v>5141</v>
      </c>
      <c r="N156" s="164">
        <v>6295</v>
      </c>
      <c r="O156" s="164">
        <v>5336</v>
      </c>
      <c r="P156" s="164">
        <v>3595</v>
      </c>
      <c r="Q156" s="165">
        <f t="shared" si="105"/>
        <v>-0.32627436281859068</v>
      </c>
      <c r="R156" s="165">
        <f t="shared" si="103"/>
        <v>1.7963512333862494E-3</v>
      </c>
      <c r="S156" s="164">
        <v>310</v>
      </c>
      <c r="T156" s="164">
        <v>819</v>
      </c>
      <c r="U156" s="164">
        <v>1133</v>
      </c>
      <c r="V156" s="164">
        <v>1155</v>
      </c>
      <c r="W156" s="164">
        <v>1041</v>
      </c>
      <c r="X156" s="165">
        <f t="shared" si="106"/>
        <v>-9.8701298701298734E-2</v>
      </c>
      <c r="Y156" s="165">
        <f t="shared" si="107"/>
        <v>4.2683456859776849E-4</v>
      </c>
    </row>
    <row r="157" spans="1:25" x14ac:dyDescent="0.25">
      <c r="A157" s="57"/>
      <c r="B157" s="163" t="s">
        <v>124</v>
      </c>
      <c r="C157" s="164">
        <v>521</v>
      </c>
      <c r="D157" s="164">
        <v>1214</v>
      </c>
      <c r="E157" s="164">
        <v>1496</v>
      </c>
      <c r="F157" s="164">
        <v>1270</v>
      </c>
      <c r="G157" s="164">
        <v>1766</v>
      </c>
      <c r="H157" s="164">
        <v>1622</v>
      </c>
      <c r="I157" s="165">
        <f t="shared" si="104"/>
        <v>-8.154020385050964E-2</v>
      </c>
      <c r="J157" s="165">
        <f t="shared" si="101"/>
        <v>3.7065390020680749E-3</v>
      </c>
      <c r="K157" s="164">
        <v>2206</v>
      </c>
      <c r="L157" s="164">
        <v>5476</v>
      </c>
      <c r="M157" s="164">
        <v>4638</v>
      </c>
      <c r="N157" s="164">
        <v>5708</v>
      </c>
      <c r="O157" s="164">
        <v>4661</v>
      </c>
      <c r="P157" s="164">
        <v>3220</v>
      </c>
      <c r="Q157" s="165">
        <f t="shared" si="105"/>
        <v>-0.30916112422226993</v>
      </c>
      <c r="R157" s="165">
        <f t="shared" si="103"/>
        <v>1.6089710630052081E-3</v>
      </c>
      <c r="S157" s="164">
        <v>513</v>
      </c>
      <c r="T157" s="164">
        <v>1488</v>
      </c>
      <c r="U157" s="164">
        <v>1744</v>
      </c>
      <c r="V157" s="164">
        <v>1425</v>
      </c>
      <c r="W157" s="164">
        <v>1282</v>
      </c>
      <c r="X157" s="165">
        <f t="shared" si="106"/>
        <v>-0.10035087719298241</v>
      </c>
      <c r="Y157" s="165">
        <f t="shared" si="107"/>
        <v>5.2565025642876007E-4</v>
      </c>
    </row>
    <row r="158" spans="1:25" x14ac:dyDescent="0.25">
      <c r="A158" s="57"/>
      <c r="B158" s="163" t="s">
        <v>133</v>
      </c>
      <c r="C158" s="164">
        <v>27</v>
      </c>
      <c r="D158" s="164">
        <v>436</v>
      </c>
      <c r="E158" s="164">
        <v>549</v>
      </c>
      <c r="F158" s="164">
        <v>347</v>
      </c>
      <c r="G158" s="164">
        <v>401</v>
      </c>
      <c r="H158" s="164">
        <v>419</v>
      </c>
      <c r="I158" s="165">
        <f t="shared" si="104"/>
        <v>4.488778054862852E-2</v>
      </c>
      <c r="J158" s="165">
        <f t="shared" si="101"/>
        <v>9.5748448943682092E-4</v>
      </c>
      <c r="K158" s="164">
        <v>87</v>
      </c>
      <c r="L158" s="164">
        <v>1353</v>
      </c>
      <c r="M158" s="164">
        <v>3772</v>
      </c>
      <c r="N158" s="164">
        <v>2467</v>
      </c>
      <c r="O158" s="164">
        <v>1603</v>
      </c>
      <c r="P158" s="164">
        <v>1352</v>
      </c>
      <c r="Q158" s="165">
        <f t="shared" si="105"/>
        <v>-0.15658140985651903</v>
      </c>
      <c r="R158" s="165">
        <f t="shared" si="103"/>
        <v>6.7556797428044762E-4</v>
      </c>
      <c r="S158" s="164">
        <v>28</v>
      </c>
      <c r="T158" s="164">
        <v>248</v>
      </c>
      <c r="U158" s="164">
        <v>263</v>
      </c>
      <c r="V158" s="164">
        <v>200</v>
      </c>
      <c r="W158" s="164">
        <v>274</v>
      </c>
      <c r="X158" s="165">
        <f t="shared" si="106"/>
        <v>0.37000000000000011</v>
      </c>
      <c r="Y158" s="165">
        <f t="shared" si="107"/>
        <v>1.123464666626211E-4</v>
      </c>
    </row>
    <row r="159" spans="1:25" x14ac:dyDescent="0.25">
      <c r="A159" s="57"/>
      <c r="B159" s="163" t="s">
        <v>136</v>
      </c>
      <c r="C159" s="164">
        <v>41</v>
      </c>
      <c r="D159" s="164">
        <v>278</v>
      </c>
      <c r="E159" s="164">
        <v>188</v>
      </c>
      <c r="F159" s="164">
        <v>255</v>
      </c>
      <c r="G159" s="164">
        <v>570</v>
      </c>
      <c r="H159" s="164">
        <v>238</v>
      </c>
      <c r="I159" s="165">
        <f t="shared" si="104"/>
        <v>-0.58245614035087723</v>
      </c>
      <c r="J159" s="165">
        <f t="shared" si="101"/>
        <v>5.438694713268816E-4</v>
      </c>
      <c r="K159" s="164">
        <v>128</v>
      </c>
      <c r="L159" s="164">
        <v>1192</v>
      </c>
      <c r="M159" s="164">
        <v>1748</v>
      </c>
      <c r="N159" s="164">
        <v>1450</v>
      </c>
      <c r="O159" s="164">
        <v>1311</v>
      </c>
      <c r="P159" s="164">
        <v>1529</v>
      </c>
      <c r="Q159" s="165">
        <f t="shared" si="105"/>
        <v>0.16628527841342478</v>
      </c>
      <c r="R159" s="165">
        <f t="shared" si="103"/>
        <v>7.6401141470029915E-4</v>
      </c>
      <c r="S159" s="164">
        <v>68</v>
      </c>
      <c r="T159" s="164">
        <v>511</v>
      </c>
      <c r="U159" s="164">
        <v>373</v>
      </c>
      <c r="V159" s="164">
        <v>276</v>
      </c>
      <c r="W159" s="164">
        <v>158</v>
      </c>
      <c r="X159" s="165">
        <f t="shared" si="106"/>
        <v>-0.42753623188405798</v>
      </c>
      <c r="Y159" s="165">
        <f t="shared" si="107"/>
        <v>6.4783728951438443E-5</v>
      </c>
    </row>
    <row r="160" spans="1:25" x14ac:dyDescent="0.25">
      <c r="A160" s="57"/>
      <c r="B160" s="168" t="s">
        <v>150</v>
      </c>
      <c r="C160" s="169">
        <f t="shared" ref="C160:H160" si="108">C152-SUM(C153:C159)</f>
        <v>3165</v>
      </c>
      <c r="D160" s="169">
        <f t="shared" si="108"/>
        <v>9760</v>
      </c>
      <c r="E160" s="169">
        <f t="shared" si="108"/>
        <v>8748</v>
      </c>
      <c r="F160" s="169">
        <f t="shared" si="108"/>
        <v>14429</v>
      </c>
      <c r="G160" s="169">
        <f t="shared" si="108"/>
        <v>16689</v>
      </c>
      <c r="H160" s="169">
        <f t="shared" si="108"/>
        <v>15992</v>
      </c>
      <c r="I160" s="170">
        <f t="shared" si="104"/>
        <v>-4.1764036191503373E-2</v>
      </c>
      <c r="J160" s="170">
        <f t="shared" si="101"/>
        <v>3.6544372207812981E-2</v>
      </c>
      <c r="K160" s="169">
        <f t="shared" ref="K160:P160" si="109">K152-SUM(K153:K159)</f>
        <v>12389</v>
      </c>
      <c r="L160" s="169">
        <f t="shared" si="109"/>
        <v>32692</v>
      </c>
      <c r="M160" s="169">
        <f t="shared" si="109"/>
        <v>38945</v>
      </c>
      <c r="N160" s="169">
        <f t="shared" si="109"/>
        <v>47408</v>
      </c>
      <c r="O160" s="169">
        <f t="shared" si="109"/>
        <v>38758</v>
      </c>
      <c r="P160" s="169">
        <f t="shared" si="109"/>
        <v>36378</v>
      </c>
      <c r="Q160" s="170">
        <f t="shared" si="105"/>
        <v>-6.1406677331131587E-2</v>
      </c>
      <c r="R160" s="170">
        <f t="shared" si="103"/>
        <v>1.8177375568324057E-2</v>
      </c>
      <c r="S160" s="169">
        <f>S152-SUM(S153:S159)</f>
        <v>3707</v>
      </c>
      <c r="T160" s="169">
        <f>T152-SUM(T153:T159)</f>
        <v>6304</v>
      </c>
      <c r="U160" s="169">
        <f>U152-SUM(U153:U159)</f>
        <v>8867</v>
      </c>
      <c r="V160" s="169">
        <f>V152-SUM(V153:V159)</f>
        <v>8454</v>
      </c>
      <c r="W160" s="169">
        <f>W152-SUM(W153:W159)</f>
        <v>8279</v>
      </c>
      <c r="X160" s="170">
        <f t="shared" si="106"/>
        <v>-2.0700260231842904E-2</v>
      </c>
      <c r="Y160" s="170">
        <f t="shared" si="107"/>
        <v>3.3945853923351829E-3</v>
      </c>
    </row>
    <row r="161" spans="1:25" ht="6" customHeight="1" x14ac:dyDescent="0.25">
      <c r="A161" s="57"/>
      <c r="C161" s="81"/>
      <c r="D161" s="81"/>
      <c r="E161" s="81"/>
      <c r="F161" s="81"/>
      <c r="G161" s="81"/>
      <c r="H161" s="81"/>
      <c r="I161" s="81"/>
      <c r="K161" s="81"/>
      <c r="L161" s="81"/>
      <c r="M161" s="81"/>
      <c r="N161" s="81"/>
      <c r="O161" s="81"/>
      <c r="P161" s="81"/>
      <c r="Q161" s="81"/>
      <c r="S161" s="81"/>
      <c r="T161" s="81"/>
      <c r="U161" s="81"/>
      <c r="V161" s="81"/>
      <c r="W161" s="81"/>
      <c r="X161" s="81"/>
    </row>
    <row r="162" spans="1:25" ht="6" customHeight="1" x14ac:dyDescent="0.25">
      <c r="A162" s="57"/>
      <c r="B162" s="171"/>
      <c r="C162" s="171"/>
      <c r="D162" s="171"/>
      <c r="E162" s="171"/>
      <c r="F162" s="171"/>
      <c r="G162" s="171"/>
      <c r="H162" s="171"/>
      <c r="I162" s="171"/>
      <c r="J162" s="171"/>
      <c r="K162" s="171"/>
      <c r="L162" s="171"/>
      <c r="M162" s="171"/>
      <c r="N162" s="171"/>
      <c r="O162" s="171"/>
      <c r="P162" s="171"/>
      <c r="Q162" s="171"/>
      <c r="R162" s="171"/>
      <c r="S162" s="171"/>
      <c r="T162" s="171"/>
      <c r="U162" s="171"/>
      <c r="V162" s="171"/>
      <c r="W162" s="171"/>
      <c r="X162" s="171"/>
      <c r="Y162" s="171"/>
    </row>
    <row r="163" spans="1:25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7"/>
      <c r="P163" s="107"/>
      <c r="Q163" s="107"/>
      <c r="R163" s="107"/>
      <c r="S163" s="107"/>
      <c r="T163" s="107"/>
      <c r="U163" s="107"/>
      <c r="V163" s="107"/>
      <c r="W163" s="107"/>
      <c r="X163" s="107"/>
      <c r="Y163" s="107"/>
    </row>
  </sheetData>
  <mergeCells count="3">
    <mergeCell ref="C5:J5"/>
    <mergeCell ref="K5:R5"/>
    <mergeCell ref="S5:Y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D1F06-C6F9-4011-87F6-1DD458D85610}">
  <sheetPr>
    <tabColor theme="7" tint="0.79998168889431442"/>
    <pageSetUpPr fitToPage="1"/>
  </sheetPr>
  <dimension ref="A1:Z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26" width="10.5703125" customWidth="1"/>
  </cols>
  <sheetData>
    <row r="1" spans="1:26" ht="42.75" customHeight="1" x14ac:dyDescent="0.25"/>
    <row r="4" spans="1:26" ht="42" customHeight="1" thickBot="1" x14ac:dyDescent="0.3">
      <c r="B4" s="66" t="str">
        <f>CONCATENATE("Viajeros entrados en los establecimientos hoteleros de Tenerife según lugar de residencia, categoría y municipio del alojamiento")</f>
        <v>Viajeros entrados en los establecimientos hoteleros de Tenerife según lugar de residencia, categoría y municipio del alojamiento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</row>
    <row r="5" spans="1:26" ht="6" customHeight="1" x14ac:dyDescent="0.25"/>
    <row r="6" spans="1:26" ht="15.75" x14ac:dyDescent="0.25">
      <c r="B6" s="184"/>
      <c r="C6" s="307" t="s">
        <v>64</v>
      </c>
      <c r="D6" s="308"/>
      <c r="E6" s="308"/>
      <c r="F6" s="308"/>
      <c r="G6" s="308"/>
      <c r="H6" s="308"/>
      <c r="I6" s="308"/>
      <c r="J6" s="308"/>
      <c r="K6" s="307" t="s">
        <v>63</v>
      </c>
      <c r="L6" s="308"/>
      <c r="M6" s="308"/>
      <c r="N6" s="308"/>
      <c r="O6" s="308"/>
      <c r="P6" s="308"/>
      <c r="Q6" s="308"/>
      <c r="R6" s="308"/>
      <c r="S6" s="307" t="s">
        <v>142</v>
      </c>
      <c r="T6" s="308"/>
      <c r="U6" s="308"/>
      <c r="V6" s="308"/>
      <c r="W6" s="308"/>
      <c r="X6" s="308"/>
      <c r="Y6" s="308"/>
      <c r="Z6" s="308"/>
    </row>
    <row r="7" spans="1:26" s="146" customFormat="1" ht="72" customHeight="1" x14ac:dyDescent="0.25">
      <c r="B7" s="147"/>
      <c r="C7" s="185">
        <f>D7-1</f>
        <v>2021</v>
      </c>
      <c r="D7" s="185">
        <f>E7-1</f>
        <v>2022</v>
      </c>
      <c r="E7" s="185">
        <f>F7-1</f>
        <v>2023</v>
      </c>
      <c r="F7" s="185">
        <f>G7-1</f>
        <v>2024</v>
      </c>
      <c r="G7" s="185">
        <v>2025</v>
      </c>
      <c r="H7" s="173" t="str">
        <f>CONCATENATE("var. ",RIGHT(G7,2),"/",RIGHT(F7,2))</f>
        <v>var. 25/24</v>
      </c>
      <c r="I7" s="173" t="str">
        <f>CONCATENATE("var. ",RIGHT(G7,2),"/",RIGHT(C7,2))</f>
        <v>var. 25/21</v>
      </c>
      <c r="J7" s="173" t="str">
        <f>CONCATENATE("Cuota s/ total lugares de residencia ",RIGHT(G7,4))</f>
        <v>Cuota s/ total lugares de residencia 2025</v>
      </c>
      <c r="K7" s="185">
        <f>L7-1</f>
        <v>2021</v>
      </c>
      <c r="L7" s="185">
        <f>M7-1</f>
        <v>2022</v>
      </c>
      <c r="M7" s="185">
        <f>N7-1</f>
        <v>2023</v>
      </c>
      <c r="N7" s="185">
        <f>O7-1</f>
        <v>2024</v>
      </c>
      <c r="O7" s="185">
        <v>2025</v>
      </c>
      <c r="P7" s="173" t="str">
        <f>CONCATENATE("var. ",RIGHT(O7,2),"/",RIGHT(N7,2))</f>
        <v>var. 25/24</v>
      </c>
      <c r="Q7" s="173" t="str">
        <f>CONCATENATE("var. ",RIGHT(O7,2),"/",RIGHT(K7,2))</f>
        <v>var. 25/21</v>
      </c>
      <c r="R7" s="173" t="str">
        <f>CONCATENATE("Cuota s/ total lugares de residencia ",RIGHT(O7,4))</f>
        <v>Cuota s/ total lugares de residencia 2025</v>
      </c>
      <c r="S7" s="185">
        <f>T7-1</f>
        <v>2021</v>
      </c>
      <c r="T7" s="185">
        <f>U7-1</f>
        <v>2022</v>
      </c>
      <c r="U7" s="185">
        <f>V7-1</f>
        <v>2023</v>
      </c>
      <c r="V7" s="185">
        <f>W7-1</f>
        <v>2024</v>
      </c>
      <c r="W7" s="185">
        <v>2025</v>
      </c>
      <c r="X7" s="173" t="str">
        <f>CONCATENATE("var. ",RIGHT(W7,2),"/",RIGHT(V7,2))</f>
        <v>var. 25/24</v>
      </c>
      <c r="Y7" s="173" t="str">
        <f>CONCATENATE("var. ",RIGHT(W7,2),"/",RIGHT(S7,2))</f>
        <v>var. 25/21</v>
      </c>
      <c r="Z7" s="173" t="str">
        <f>CONCATENATE("Cuota s/ total lugares de residencia ",RIGHT(U7,4))</f>
        <v>Cuota s/ total lugares de residencia 2023</v>
      </c>
    </row>
    <row r="8" spans="1:26" x14ac:dyDescent="0.25">
      <c r="A8" s="1"/>
      <c r="B8" s="152" t="s">
        <v>45</v>
      </c>
      <c r="C8" s="153"/>
      <c r="D8" s="153"/>
      <c r="E8" s="153"/>
      <c r="F8" s="153"/>
      <c r="G8" s="153"/>
      <c r="H8" s="153"/>
      <c r="I8" s="153"/>
      <c r="J8" s="153"/>
      <c r="K8" s="153"/>
      <c r="L8" s="153"/>
      <c r="M8" s="153"/>
      <c r="N8" s="153"/>
      <c r="O8" s="153"/>
      <c r="P8" s="153"/>
      <c r="Q8" s="153"/>
      <c r="R8" s="153"/>
      <c r="S8" s="153"/>
      <c r="T8" s="153"/>
      <c r="U8" s="153"/>
      <c r="V8" s="153"/>
      <c r="W8" s="153"/>
      <c r="X8" s="153"/>
      <c r="Y8" s="153"/>
      <c r="Z8" s="153"/>
    </row>
    <row r="9" spans="1:26" x14ac:dyDescent="0.25">
      <c r="A9" s="1" t="s">
        <v>0</v>
      </c>
      <c r="B9" s="156" t="s">
        <v>73</v>
      </c>
      <c r="C9" s="176">
        <f>C10+C13</f>
        <v>332855</v>
      </c>
      <c r="D9" s="176">
        <f>D10+D13</f>
        <v>672483</v>
      </c>
      <c r="E9" s="176">
        <f>E10+E13</f>
        <v>740673</v>
      </c>
      <c r="F9" s="176">
        <f>F10+F13</f>
        <v>759850</v>
      </c>
      <c r="G9" s="176">
        <f>G10+G13</f>
        <v>760112</v>
      </c>
      <c r="H9" s="177">
        <f>IFERROR(G9/F9-1,"-")</f>
        <v>3.4480489570309913E-4</v>
      </c>
      <c r="I9" s="177">
        <f>IFERROR(G9/C9-1,"-")</f>
        <v>1.2836129846329483</v>
      </c>
      <c r="J9" s="177">
        <f>G9/G$9</f>
        <v>1</v>
      </c>
      <c r="K9" s="176">
        <f>K10+K13</f>
        <v>1525176</v>
      </c>
      <c r="L9" s="176">
        <f>L10+L13</f>
        <v>3104390</v>
      </c>
      <c r="M9" s="176">
        <f>M10+M13</f>
        <v>3348191</v>
      </c>
      <c r="N9" s="176">
        <f>N10+N13</f>
        <v>3522695</v>
      </c>
      <c r="O9" s="176">
        <f>O10+O13</f>
        <v>3438737</v>
      </c>
      <c r="P9" s="177">
        <f>IFERROR(O9/N9-1,"-")</f>
        <v>-2.3833457054896923E-2</v>
      </c>
      <c r="Q9" s="177">
        <f>IFERROR(O9/K9-1,"-")</f>
        <v>1.2546492994906817</v>
      </c>
      <c r="R9" s="177">
        <f>O9/O$9</f>
        <v>1</v>
      </c>
      <c r="S9" s="176">
        <f>S10+S13</f>
        <v>1858031</v>
      </c>
      <c r="T9" s="176">
        <f>T10+T13</f>
        <v>3776873</v>
      </c>
      <c r="U9" s="176">
        <f>U10+U13</f>
        <v>4088864</v>
      </c>
      <c r="V9" s="176">
        <f>V10+V13</f>
        <v>4282545</v>
      </c>
      <c r="W9" s="176">
        <f>W10+W13</f>
        <v>4198849</v>
      </c>
      <c r="X9" s="177">
        <f>IFERROR(W9/V9-1,"-")</f>
        <v>-1.9543519099040396E-2</v>
      </c>
      <c r="Y9" s="177">
        <f>IFERROR(W9/S9-1,"-")</f>
        <v>1.2598379682577954</v>
      </c>
      <c r="Z9" s="177">
        <f t="shared" ref="Z9:Z21" si="0">U9/U$9</f>
        <v>1</v>
      </c>
    </row>
    <row r="10" spans="1:26" x14ac:dyDescent="0.25">
      <c r="A10" s="1" t="s">
        <v>101</v>
      </c>
      <c r="B10" s="159" t="s">
        <v>102</v>
      </c>
      <c r="C10" s="160">
        <v>119848</v>
      </c>
      <c r="D10" s="160">
        <v>173672</v>
      </c>
      <c r="E10" s="160">
        <v>208983</v>
      </c>
      <c r="F10" s="160">
        <v>212833</v>
      </c>
      <c r="G10" s="160">
        <v>203770</v>
      </c>
      <c r="H10" s="161">
        <f>IFERROR(G10/F10-1,"-")</f>
        <v>-4.2582682196839805E-2</v>
      </c>
      <c r="I10" s="178">
        <f t="shared" ref="I10:I73" si="1">IFERROR(G10/C10-1,"-")</f>
        <v>0.70023696682464465</v>
      </c>
      <c r="J10" s="161">
        <f>G10/G$9</f>
        <v>0.26807891468625678</v>
      </c>
      <c r="K10" s="160">
        <v>549418</v>
      </c>
      <c r="L10" s="160">
        <v>688398</v>
      </c>
      <c r="M10" s="160">
        <v>673764</v>
      </c>
      <c r="N10" s="160">
        <v>676348</v>
      </c>
      <c r="O10" s="160">
        <v>678164</v>
      </c>
      <c r="P10" s="161">
        <f>IFERROR(O10/N10-1,"-")</f>
        <v>2.6850083093319377E-3</v>
      </c>
      <c r="Q10" s="178">
        <f t="shared" ref="Q10:Q21" si="2">IFERROR(O10/K10-1,"-")</f>
        <v>0.23433160180409085</v>
      </c>
      <c r="R10" s="161">
        <f>O10/O$9</f>
        <v>0.19721310469512499</v>
      </c>
      <c r="S10" s="160">
        <v>669266</v>
      </c>
      <c r="T10" s="160">
        <v>862070</v>
      </c>
      <c r="U10" s="160">
        <v>882747</v>
      </c>
      <c r="V10" s="160">
        <v>889181</v>
      </c>
      <c r="W10" s="160">
        <v>881934</v>
      </c>
      <c r="X10" s="161">
        <f>IFERROR(W10/V10-1,"-")</f>
        <v>-8.1501966416286376E-3</v>
      </c>
      <c r="Y10" s="178">
        <f t="shared" ref="Y10:Y21" si="3">IFERROR(W10/S10-1,"-")</f>
        <v>0.31776304189963334</v>
      </c>
      <c r="Z10" s="161">
        <f t="shared" si="0"/>
        <v>0.2158905260727674</v>
      </c>
    </row>
    <row r="11" spans="1:26" x14ac:dyDescent="0.25">
      <c r="A11" s="162" t="s">
        <v>108</v>
      </c>
      <c r="B11" s="163" t="s">
        <v>108</v>
      </c>
      <c r="C11" s="164">
        <v>76913</v>
      </c>
      <c r="D11" s="164">
        <v>97401</v>
      </c>
      <c r="E11" s="164">
        <v>119374</v>
      </c>
      <c r="F11" s="164">
        <v>118341</v>
      </c>
      <c r="G11" s="164">
        <v>108798</v>
      </c>
      <c r="H11" s="165">
        <f>IFERROR(G11/F11-1,"-")</f>
        <v>-8.0639845869140858E-2</v>
      </c>
      <c r="I11" s="179">
        <f t="shared" si="1"/>
        <v>0.41455930726925216</v>
      </c>
      <c r="J11" s="165">
        <f>G11/G$9</f>
        <v>0.14313416970130718</v>
      </c>
      <c r="K11" s="164">
        <v>248239</v>
      </c>
      <c r="L11" s="164">
        <v>235468</v>
      </c>
      <c r="M11" s="164">
        <v>222224</v>
      </c>
      <c r="N11" s="164">
        <v>221054</v>
      </c>
      <c r="O11" s="164">
        <v>232464</v>
      </c>
      <c r="P11" s="165">
        <f>IFERROR(O11/N11-1,"-")</f>
        <v>5.1616347136898666E-2</v>
      </c>
      <c r="Q11" s="179">
        <f t="shared" si="2"/>
        <v>-6.3547629502213598E-2</v>
      </c>
      <c r="R11" s="165">
        <f>O11/O$9</f>
        <v>6.7601564178941281E-2</v>
      </c>
      <c r="S11" s="164">
        <v>325152</v>
      </c>
      <c r="T11" s="164">
        <v>332869</v>
      </c>
      <c r="U11" s="164">
        <v>341598</v>
      </c>
      <c r="V11" s="164">
        <v>339395</v>
      </c>
      <c r="W11" s="164">
        <v>341262</v>
      </c>
      <c r="X11" s="165">
        <f>IFERROR(W11/V11-1,"-")</f>
        <v>5.5009649523416471E-3</v>
      </c>
      <c r="Y11" s="179">
        <f t="shared" si="3"/>
        <v>4.9546058458813214E-2</v>
      </c>
      <c r="Z11" s="165">
        <f t="shared" si="0"/>
        <v>8.3543497656072691E-2</v>
      </c>
    </row>
    <row r="12" spans="1:26" x14ac:dyDescent="0.25">
      <c r="A12" s="162" t="s">
        <v>105</v>
      </c>
      <c r="B12" s="163" t="s">
        <v>105</v>
      </c>
      <c r="C12" s="164">
        <v>42935</v>
      </c>
      <c r="D12" s="164">
        <v>76271</v>
      </c>
      <c r="E12" s="164">
        <v>89609</v>
      </c>
      <c r="F12" s="164">
        <v>94492</v>
      </c>
      <c r="G12" s="164">
        <v>94972</v>
      </c>
      <c r="H12" s="165">
        <f>IFERROR(G12/F12-1,"-")</f>
        <v>5.0797951149303966E-3</v>
      </c>
      <c r="I12" s="179">
        <f t="shared" si="1"/>
        <v>1.2119948759753116</v>
      </c>
      <c r="J12" s="165">
        <f>G12/G$9</f>
        <v>0.12494474498494959</v>
      </c>
      <c r="K12" s="164">
        <v>301179</v>
      </c>
      <c r="L12" s="164">
        <v>452930</v>
      </c>
      <c r="M12" s="164">
        <v>451540</v>
      </c>
      <c r="N12" s="164">
        <v>455294</v>
      </c>
      <c r="O12" s="164">
        <v>445700</v>
      </c>
      <c r="P12" s="165">
        <f>IFERROR(O12/N12-1,"-")</f>
        <v>-2.1072098468242539E-2</v>
      </c>
      <c r="Q12" s="179">
        <f t="shared" si="2"/>
        <v>0.47985085281510331</v>
      </c>
      <c r="R12" s="165">
        <f>O12/O$9</f>
        <v>0.1296115405161837</v>
      </c>
      <c r="S12" s="164">
        <v>344114</v>
      </c>
      <c r="T12" s="164">
        <v>529201</v>
      </c>
      <c r="U12" s="164">
        <v>541149</v>
      </c>
      <c r="V12" s="164">
        <v>549786</v>
      </c>
      <c r="W12" s="164">
        <v>540672</v>
      </c>
      <c r="X12" s="165">
        <f>IFERROR(W12/V12-1,"-")</f>
        <v>-1.657735919066694E-2</v>
      </c>
      <c r="Y12" s="179">
        <f t="shared" si="3"/>
        <v>0.57120024178034035</v>
      </c>
      <c r="Z12" s="165">
        <f t="shared" si="0"/>
        <v>0.13234702841669471</v>
      </c>
    </row>
    <row r="13" spans="1:26" x14ac:dyDescent="0.25">
      <c r="A13" s="1" t="s">
        <v>151</v>
      </c>
      <c r="B13" s="159" t="s">
        <v>112</v>
      </c>
      <c r="C13" s="160">
        <v>213007</v>
      </c>
      <c r="D13" s="160">
        <v>498811</v>
      </c>
      <c r="E13" s="160">
        <v>531690</v>
      </c>
      <c r="F13" s="160">
        <v>547017</v>
      </c>
      <c r="G13" s="160">
        <v>556342</v>
      </c>
      <c r="H13" s="161">
        <f>IFERROR(G13/F13-1,"-")</f>
        <v>1.7047002195544225E-2</v>
      </c>
      <c r="I13" s="178">
        <f t="shared" si="1"/>
        <v>1.6118484369058295</v>
      </c>
      <c r="J13" s="161">
        <f>G13/G$9</f>
        <v>0.73192108531374322</v>
      </c>
      <c r="K13" s="160">
        <v>975758</v>
      </c>
      <c r="L13" s="160">
        <v>2415992</v>
      </c>
      <c r="M13" s="160">
        <v>2674427</v>
      </c>
      <c r="N13" s="160">
        <v>2846347</v>
      </c>
      <c r="O13" s="160">
        <v>2760573</v>
      </c>
      <c r="P13" s="161">
        <f>IFERROR(O13/N13-1,"-")</f>
        <v>-3.0134765719007528E-2</v>
      </c>
      <c r="Q13" s="178">
        <f t="shared" si="2"/>
        <v>1.8291574345278234</v>
      </c>
      <c r="R13" s="161">
        <f>O13/O$9</f>
        <v>0.80278689530487501</v>
      </c>
      <c r="S13" s="160">
        <v>1188765</v>
      </c>
      <c r="T13" s="160">
        <v>2914803</v>
      </c>
      <c r="U13" s="160">
        <v>3206117</v>
      </c>
      <c r="V13" s="160">
        <v>3393364</v>
      </c>
      <c r="W13" s="160">
        <v>3316915</v>
      </c>
      <c r="X13" s="161">
        <f>IFERROR(W13/V13-1,"-")</f>
        <v>-2.2528971250947438E-2</v>
      </c>
      <c r="Y13" s="178">
        <f t="shared" si="3"/>
        <v>1.7902192611659999</v>
      </c>
      <c r="Z13" s="161">
        <f t="shared" si="0"/>
        <v>0.78410947392723263</v>
      </c>
    </row>
    <row r="14" spans="1:26" x14ac:dyDescent="0.25">
      <c r="A14" s="162" t="s">
        <v>115</v>
      </c>
      <c r="B14" s="163" t="s">
        <v>115</v>
      </c>
      <c r="C14" s="164">
        <v>51463</v>
      </c>
      <c r="D14" s="164">
        <v>185404</v>
      </c>
      <c r="E14" s="164">
        <v>205697</v>
      </c>
      <c r="F14" s="164">
        <v>204584</v>
      </c>
      <c r="G14" s="164">
        <v>197758</v>
      </c>
      <c r="H14" s="165">
        <f t="shared" ref="H14:H21" si="4">IFERROR(G14/F14-1,"-")</f>
        <v>-3.3365268056152919E-2</v>
      </c>
      <c r="I14" s="179">
        <f t="shared" si="1"/>
        <v>2.8427219555797367</v>
      </c>
      <c r="J14" s="165">
        <f t="shared" ref="J14:J21" si="5">G14/G$9</f>
        <v>0.26016955396046898</v>
      </c>
      <c r="K14" s="164">
        <v>284717</v>
      </c>
      <c r="L14" s="164">
        <v>1132692</v>
      </c>
      <c r="M14" s="164">
        <v>1254292</v>
      </c>
      <c r="N14" s="164">
        <v>1327743</v>
      </c>
      <c r="O14" s="164">
        <v>1294002</v>
      </c>
      <c r="P14" s="165">
        <f t="shared" ref="P14:P21" si="6">IFERROR(O14/N14-1,"-")</f>
        <v>-2.5412297409965645E-2</v>
      </c>
      <c r="Q14" s="179">
        <f t="shared" si="2"/>
        <v>3.5448708717779409</v>
      </c>
      <c r="R14" s="165">
        <f t="shared" ref="R14:R21" si="7">O14/O$9</f>
        <v>0.37630153163792401</v>
      </c>
      <c r="S14" s="164">
        <v>336180</v>
      </c>
      <c r="T14" s="164">
        <v>1318096</v>
      </c>
      <c r="U14" s="164">
        <v>1459989</v>
      </c>
      <c r="V14" s="164">
        <v>1532327</v>
      </c>
      <c r="W14" s="164">
        <v>1491760</v>
      </c>
      <c r="X14" s="165">
        <f t="shared" ref="X14:X21" si="8">IFERROR(W14/V14-1,"-")</f>
        <v>-2.6474114206693433E-2</v>
      </c>
      <c r="Y14" s="179">
        <f t="shared" si="3"/>
        <v>3.4373847343684929</v>
      </c>
      <c r="Z14" s="165">
        <f t="shared" si="0"/>
        <v>0.35706470061122109</v>
      </c>
    </row>
    <row r="15" spans="1:26" x14ac:dyDescent="0.25">
      <c r="A15" s="162" t="s">
        <v>118</v>
      </c>
      <c r="B15" s="163" t="s">
        <v>118</v>
      </c>
      <c r="C15" s="164">
        <v>38221</v>
      </c>
      <c r="D15" s="164">
        <v>64721</v>
      </c>
      <c r="E15" s="164">
        <v>72602</v>
      </c>
      <c r="F15" s="164">
        <v>73311</v>
      </c>
      <c r="G15" s="164">
        <v>77383</v>
      </c>
      <c r="H15" s="165">
        <f t="shared" si="4"/>
        <v>5.554418845739395E-2</v>
      </c>
      <c r="I15" s="179">
        <f t="shared" si="1"/>
        <v>1.0246199733131003</v>
      </c>
      <c r="J15" s="165">
        <f t="shared" si="5"/>
        <v>0.10180473403919423</v>
      </c>
      <c r="K15" s="164">
        <v>156330</v>
      </c>
      <c r="L15" s="164">
        <v>274306</v>
      </c>
      <c r="M15" s="164">
        <v>310411</v>
      </c>
      <c r="N15" s="164">
        <v>317945</v>
      </c>
      <c r="O15" s="164">
        <v>307269</v>
      </c>
      <c r="P15" s="165">
        <f t="shared" si="6"/>
        <v>-3.3578134583025387E-2</v>
      </c>
      <c r="Q15" s="179">
        <f t="shared" si="2"/>
        <v>0.96551525618883138</v>
      </c>
      <c r="R15" s="165">
        <f t="shared" si="7"/>
        <v>8.9355190583054189E-2</v>
      </c>
      <c r="S15" s="164">
        <v>194551</v>
      </c>
      <c r="T15" s="164">
        <v>339027</v>
      </c>
      <c r="U15" s="164">
        <v>383013</v>
      </c>
      <c r="V15" s="164">
        <v>391256</v>
      </c>
      <c r="W15" s="164">
        <v>384652</v>
      </c>
      <c r="X15" s="165">
        <f t="shared" si="8"/>
        <v>-1.6878974379945566E-2</v>
      </c>
      <c r="Y15" s="179">
        <f t="shared" si="3"/>
        <v>0.97712682021680686</v>
      </c>
      <c r="Z15" s="165">
        <f t="shared" si="0"/>
        <v>9.3672227787473486E-2</v>
      </c>
    </row>
    <row r="16" spans="1:26" x14ac:dyDescent="0.25">
      <c r="A16" s="162" t="s">
        <v>121</v>
      </c>
      <c r="B16" s="163" t="s">
        <v>121</v>
      </c>
      <c r="C16" s="164">
        <v>21498</v>
      </c>
      <c r="D16" s="164">
        <v>31998</v>
      </c>
      <c r="E16" s="164">
        <v>34481</v>
      </c>
      <c r="F16" s="164">
        <v>33841</v>
      </c>
      <c r="G16" s="164">
        <v>36771</v>
      </c>
      <c r="H16" s="165">
        <f t="shared" si="4"/>
        <v>8.6581365798882981E-2</v>
      </c>
      <c r="I16" s="179">
        <f t="shared" si="1"/>
        <v>0.71043818029584149</v>
      </c>
      <c r="J16" s="165">
        <f t="shared" si="5"/>
        <v>4.8375765676637129E-2</v>
      </c>
      <c r="K16" s="164">
        <v>83736</v>
      </c>
      <c r="L16" s="164">
        <v>134432</v>
      </c>
      <c r="M16" s="164">
        <v>141579</v>
      </c>
      <c r="N16" s="164">
        <v>159005</v>
      </c>
      <c r="O16" s="164">
        <v>147456</v>
      </c>
      <c r="P16" s="165">
        <f t="shared" si="6"/>
        <v>-7.26329360711927E-2</v>
      </c>
      <c r="Q16" s="179">
        <f t="shared" si="2"/>
        <v>0.7609630266552021</v>
      </c>
      <c r="R16" s="165">
        <f t="shared" si="7"/>
        <v>4.2880860036693703E-2</v>
      </c>
      <c r="S16" s="164">
        <v>105234</v>
      </c>
      <c r="T16" s="164">
        <v>166430</v>
      </c>
      <c r="U16" s="164">
        <v>176060</v>
      </c>
      <c r="V16" s="164">
        <v>192846</v>
      </c>
      <c r="W16" s="164">
        <v>184227</v>
      </c>
      <c r="X16" s="165">
        <f t="shared" si="8"/>
        <v>-4.469369341339724E-2</v>
      </c>
      <c r="Y16" s="179">
        <f t="shared" si="3"/>
        <v>0.75064142767546604</v>
      </c>
      <c r="Z16" s="165">
        <f t="shared" si="0"/>
        <v>4.305841426860859E-2</v>
      </c>
    </row>
    <row r="17" spans="1:26" x14ac:dyDescent="0.25">
      <c r="A17" s="162" t="s">
        <v>128</v>
      </c>
      <c r="B17" s="163" t="s">
        <v>128</v>
      </c>
      <c r="C17" s="164">
        <v>10076</v>
      </c>
      <c r="D17" s="164">
        <v>19335</v>
      </c>
      <c r="E17" s="164">
        <v>14807</v>
      </c>
      <c r="F17" s="164">
        <v>14110</v>
      </c>
      <c r="G17" s="164">
        <v>13807</v>
      </c>
      <c r="H17" s="165">
        <f t="shared" si="4"/>
        <v>-2.1474131821403231E-2</v>
      </c>
      <c r="I17" s="179">
        <f t="shared" si="1"/>
        <v>0.37028582770940854</v>
      </c>
      <c r="J17" s="165">
        <f t="shared" si="5"/>
        <v>1.8164428400025259E-2</v>
      </c>
      <c r="K17" s="164">
        <v>56946</v>
      </c>
      <c r="L17" s="164">
        <v>104116</v>
      </c>
      <c r="M17" s="164">
        <v>103068</v>
      </c>
      <c r="N17" s="164">
        <v>113511</v>
      </c>
      <c r="O17" s="164">
        <v>104063</v>
      </c>
      <c r="P17" s="165">
        <f t="shared" si="6"/>
        <v>-8.3234223995912293E-2</v>
      </c>
      <c r="Q17" s="179">
        <f t="shared" si="2"/>
        <v>0.82739788571629269</v>
      </c>
      <c r="R17" s="165">
        <f t="shared" si="7"/>
        <v>3.0261982815202211E-2</v>
      </c>
      <c r="S17" s="164">
        <v>67022</v>
      </c>
      <c r="T17" s="164">
        <v>123451</v>
      </c>
      <c r="U17" s="164">
        <v>117875</v>
      </c>
      <c r="V17" s="164">
        <v>127621</v>
      </c>
      <c r="W17" s="164">
        <v>117870</v>
      </c>
      <c r="X17" s="165">
        <f t="shared" si="8"/>
        <v>-7.6405920655691406E-2</v>
      </c>
      <c r="Y17" s="179">
        <f t="shared" si="3"/>
        <v>0.75867625555787654</v>
      </c>
      <c r="Z17" s="165">
        <f t="shared" si="0"/>
        <v>2.8828300476611595E-2</v>
      </c>
    </row>
    <row r="18" spans="1:26" x14ac:dyDescent="0.25">
      <c r="A18" s="162" t="s">
        <v>124</v>
      </c>
      <c r="B18" s="163" t="s">
        <v>124</v>
      </c>
      <c r="C18" s="164">
        <v>6294</v>
      </c>
      <c r="D18" s="164">
        <v>10411</v>
      </c>
      <c r="E18" s="164">
        <v>10566</v>
      </c>
      <c r="F18" s="164">
        <v>9886</v>
      </c>
      <c r="G18" s="164">
        <v>10604</v>
      </c>
      <c r="H18" s="165">
        <f t="shared" si="4"/>
        <v>7.262795872951644E-2</v>
      </c>
      <c r="I18" s="179">
        <f t="shared" si="1"/>
        <v>0.68477915475055617</v>
      </c>
      <c r="J18" s="165">
        <f t="shared" si="5"/>
        <v>1.3950575704633001E-2</v>
      </c>
      <c r="K18" s="164">
        <v>77431</v>
      </c>
      <c r="L18" s="164">
        <v>120097</v>
      </c>
      <c r="M18" s="164">
        <v>123521</v>
      </c>
      <c r="N18" s="164">
        <v>130398</v>
      </c>
      <c r="O18" s="164">
        <v>121641</v>
      </c>
      <c r="P18" s="165">
        <f t="shared" si="6"/>
        <v>-6.7155937974508806E-2</v>
      </c>
      <c r="Q18" s="179">
        <f t="shared" si="2"/>
        <v>0.57095995144063738</v>
      </c>
      <c r="R18" s="165">
        <f t="shared" si="7"/>
        <v>3.5373743324947506E-2</v>
      </c>
      <c r="S18" s="164">
        <v>83725</v>
      </c>
      <c r="T18" s="164">
        <v>130508</v>
      </c>
      <c r="U18" s="164">
        <v>134087</v>
      </c>
      <c r="V18" s="164">
        <v>140284</v>
      </c>
      <c r="W18" s="164">
        <v>132245</v>
      </c>
      <c r="X18" s="165">
        <f t="shared" si="8"/>
        <v>-5.7305180918707732E-2</v>
      </c>
      <c r="Y18" s="179">
        <f t="shared" si="3"/>
        <v>0.57951627351448187</v>
      </c>
      <c r="Z18" s="165">
        <f t="shared" si="0"/>
        <v>3.2793215915227311E-2</v>
      </c>
    </row>
    <row r="19" spans="1:26" x14ac:dyDescent="0.25">
      <c r="A19" s="162" t="s">
        <v>133</v>
      </c>
      <c r="B19" s="163" t="s">
        <v>133</v>
      </c>
      <c r="C19" s="164">
        <v>2149</v>
      </c>
      <c r="D19" s="164">
        <v>5595</v>
      </c>
      <c r="E19" s="164">
        <v>6018</v>
      </c>
      <c r="F19" s="164">
        <v>5527</v>
      </c>
      <c r="G19" s="164">
        <v>5989</v>
      </c>
      <c r="H19" s="165">
        <f t="shared" si="4"/>
        <v>8.358965080513836E-2</v>
      </c>
      <c r="I19" s="179">
        <f t="shared" si="1"/>
        <v>1.78687761749651</v>
      </c>
      <c r="J19" s="165">
        <f t="shared" si="5"/>
        <v>7.8791020270696944E-3</v>
      </c>
      <c r="K19" s="164">
        <v>12822</v>
      </c>
      <c r="L19" s="164">
        <v>35340</v>
      </c>
      <c r="M19" s="164">
        <v>38414</v>
      </c>
      <c r="N19" s="164">
        <v>36006</v>
      </c>
      <c r="O19" s="164">
        <v>33961</v>
      </c>
      <c r="P19" s="165">
        <f t="shared" si="6"/>
        <v>-5.6796089540632089E-2</v>
      </c>
      <c r="Q19" s="179">
        <f t="shared" si="2"/>
        <v>1.6486507565122448</v>
      </c>
      <c r="R19" s="165">
        <f t="shared" si="7"/>
        <v>9.8760097093787639E-3</v>
      </c>
      <c r="S19" s="164">
        <v>14971</v>
      </c>
      <c r="T19" s="164">
        <v>40935</v>
      </c>
      <c r="U19" s="164">
        <v>44432</v>
      </c>
      <c r="V19" s="164">
        <v>41533</v>
      </c>
      <c r="W19" s="164">
        <v>39950</v>
      </c>
      <c r="X19" s="165">
        <f t="shared" si="8"/>
        <v>-3.8114270580020704E-2</v>
      </c>
      <c r="Y19" s="179">
        <f t="shared" si="3"/>
        <v>1.6684924186761072</v>
      </c>
      <c r="Z19" s="165">
        <f t="shared" si="0"/>
        <v>1.0866587883578421E-2</v>
      </c>
    </row>
    <row r="20" spans="1:26" x14ac:dyDescent="0.25">
      <c r="A20" s="162" t="s">
        <v>136</v>
      </c>
      <c r="B20" s="163" t="s">
        <v>136</v>
      </c>
      <c r="C20" s="164">
        <v>1763</v>
      </c>
      <c r="D20" s="164">
        <v>3453</v>
      </c>
      <c r="E20" s="164">
        <v>4405</v>
      </c>
      <c r="F20" s="164">
        <v>3651</v>
      </c>
      <c r="G20" s="164">
        <v>3369</v>
      </c>
      <c r="H20" s="165">
        <f t="shared" si="4"/>
        <v>-7.7239112571898083E-2</v>
      </c>
      <c r="I20" s="179">
        <f t="shared" si="1"/>
        <v>0.91094724900737378</v>
      </c>
      <c r="J20" s="165">
        <f t="shared" si="5"/>
        <v>4.4322415644010354E-3</v>
      </c>
      <c r="K20" s="164">
        <v>10721</v>
      </c>
      <c r="L20" s="164">
        <v>31821</v>
      </c>
      <c r="M20" s="164">
        <v>40302</v>
      </c>
      <c r="N20" s="164">
        <v>37275</v>
      </c>
      <c r="O20" s="164">
        <v>32249</v>
      </c>
      <c r="P20" s="165">
        <f t="shared" si="6"/>
        <v>-0.13483568075117369</v>
      </c>
      <c r="Q20" s="179">
        <f t="shared" si="2"/>
        <v>2.0080216397724091</v>
      </c>
      <c r="R20" s="165">
        <f t="shared" si="7"/>
        <v>9.3781525019214912E-3</v>
      </c>
      <c r="S20" s="164">
        <v>12484</v>
      </c>
      <c r="T20" s="164">
        <v>35274</v>
      </c>
      <c r="U20" s="164">
        <v>44707</v>
      </c>
      <c r="V20" s="164">
        <v>40926</v>
      </c>
      <c r="W20" s="164">
        <v>35618</v>
      </c>
      <c r="X20" s="165">
        <f t="shared" si="8"/>
        <v>-0.12969750280994963</v>
      </c>
      <c r="Y20" s="179">
        <f t="shared" si="3"/>
        <v>1.8530919577058635</v>
      </c>
      <c r="Z20" s="165">
        <f t="shared" si="0"/>
        <v>1.0933843727744429E-2</v>
      </c>
    </row>
    <row r="21" spans="1:26" x14ac:dyDescent="0.25">
      <c r="A21" s="167" t="s">
        <v>150</v>
      </c>
      <c r="B21" s="168" t="s">
        <v>150</v>
      </c>
      <c r="C21" s="169">
        <f>C13-SUM(C14:C20)</f>
        <v>81543</v>
      </c>
      <c r="D21" s="169">
        <f>D13-SUM(D14:D20)</f>
        <v>177894</v>
      </c>
      <c r="E21" s="169">
        <f>E13-SUM(E14:E20)</f>
        <v>183114</v>
      </c>
      <c r="F21" s="169">
        <f>F13-SUM(F14:F20)</f>
        <v>202107</v>
      </c>
      <c r="G21" s="169">
        <f>G13-SUM(G14:G20)</f>
        <v>210661</v>
      </c>
      <c r="H21" s="170">
        <f t="shared" si="4"/>
        <v>4.2324115443799659E-2</v>
      </c>
      <c r="I21" s="180">
        <f t="shared" si="1"/>
        <v>1.5834345069472548</v>
      </c>
      <c r="J21" s="170">
        <f t="shared" si="5"/>
        <v>0.27714468394131392</v>
      </c>
      <c r="K21" s="169">
        <f>K13-SUM(K14:K20)</f>
        <v>293055</v>
      </c>
      <c r="L21" s="169">
        <f>L13-SUM(L14:L20)</f>
        <v>583188</v>
      </c>
      <c r="M21" s="169">
        <f>M13-SUM(M14:M20)</f>
        <v>662840</v>
      </c>
      <c r="N21" s="169">
        <f>N13-SUM(N14:N20)</f>
        <v>724464</v>
      </c>
      <c r="O21" s="169">
        <f>O13-SUM(O14:O20)</f>
        <v>719932</v>
      </c>
      <c r="P21" s="170">
        <f t="shared" si="6"/>
        <v>-6.255659356434573E-3</v>
      </c>
      <c r="Q21" s="180">
        <f t="shared" si="2"/>
        <v>1.4566446571462697</v>
      </c>
      <c r="R21" s="170">
        <f t="shared" si="7"/>
        <v>0.20935942469575311</v>
      </c>
      <c r="S21" s="169">
        <f>S13-SUM(S14:S20)</f>
        <v>374598</v>
      </c>
      <c r="T21" s="169">
        <f>T13-SUM(T14:T20)</f>
        <v>761082</v>
      </c>
      <c r="U21" s="169">
        <f>U13-SUM(U14:U20)</f>
        <v>845954</v>
      </c>
      <c r="V21" s="169">
        <f>V13-SUM(V14:V20)</f>
        <v>926571</v>
      </c>
      <c r="W21" s="169">
        <f>W13-SUM(W14:W20)</f>
        <v>930593</v>
      </c>
      <c r="X21" s="170">
        <f t="shared" si="8"/>
        <v>4.3407358961158327E-3</v>
      </c>
      <c r="Y21" s="180">
        <f t="shared" si="3"/>
        <v>1.4842444433766331</v>
      </c>
      <c r="Z21" s="170">
        <f t="shared" si="0"/>
        <v>0.20689218325676764</v>
      </c>
    </row>
    <row r="22" spans="1:26" x14ac:dyDescent="0.25">
      <c r="A22" s="1"/>
      <c r="B22" s="155" t="s">
        <v>46</v>
      </c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</row>
    <row r="23" spans="1:26" x14ac:dyDescent="0.25">
      <c r="A23" s="1" t="s">
        <v>0</v>
      </c>
      <c r="B23" s="156" t="s">
        <v>73</v>
      </c>
      <c r="C23" s="176">
        <f>C24+C27</f>
        <v>64946</v>
      </c>
      <c r="D23" s="176">
        <f>D24+D27</f>
        <v>165265</v>
      </c>
      <c r="E23" s="176">
        <f>E24+E27</f>
        <v>165626</v>
      </c>
      <c r="F23" s="176">
        <f>F24+F27</f>
        <v>152899</v>
      </c>
      <c r="G23" s="176">
        <f>G24+G27</f>
        <v>160603</v>
      </c>
      <c r="H23" s="177">
        <f>IFERROR(G23/F23-1,"-")</f>
        <v>5.0386202656655721E-2</v>
      </c>
      <c r="I23" s="177">
        <f t="shared" si="1"/>
        <v>1.4728697687309458</v>
      </c>
      <c r="J23" s="177">
        <f>G23/G$9</f>
        <v>0.21128859957479951</v>
      </c>
      <c r="K23" s="176">
        <f>K24+K27</f>
        <v>687822</v>
      </c>
      <c r="L23" s="176">
        <f>L24+L27</f>
        <v>1325364</v>
      </c>
      <c r="M23" s="176">
        <f>M24+M27</f>
        <v>1377896</v>
      </c>
      <c r="N23" s="176">
        <f>N24+N27</f>
        <v>1421021</v>
      </c>
      <c r="O23" s="176">
        <f>O24+O27</f>
        <v>1317842</v>
      </c>
      <c r="P23" s="177">
        <f>IFERROR(O23/N23-1,"-")</f>
        <v>-7.2609060668350378E-2</v>
      </c>
      <c r="Q23" s="177">
        <f t="shared" ref="Q23:Q86" si="9">IFERROR(O23/K23-1,"-")</f>
        <v>0.91596372317256503</v>
      </c>
      <c r="R23" s="177">
        <f>O23/O$9</f>
        <v>0.38323430957354399</v>
      </c>
      <c r="S23" s="176">
        <f>S24+S27</f>
        <v>752768</v>
      </c>
      <c r="T23" s="176">
        <f>T24+T27</f>
        <v>1490629</v>
      </c>
      <c r="U23" s="176">
        <f>U24+U27</f>
        <v>1543522</v>
      </c>
      <c r="V23" s="176">
        <f>V24+V27</f>
        <v>1573920</v>
      </c>
      <c r="W23" s="176">
        <f>W24+W27</f>
        <v>1478445</v>
      </c>
      <c r="X23" s="177">
        <f>IFERROR(W23/V23-1,"-")</f>
        <v>-6.0660643488868571E-2</v>
      </c>
      <c r="Y23" s="177">
        <f t="shared" ref="Y23:Y86" si="10">IFERROR(W23/S23-1,"-")</f>
        <v>0.96401148826730143</v>
      </c>
      <c r="Z23" s="177">
        <f t="shared" ref="Z23:Z35" si="11">U23/U$9</f>
        <v>0.37749409126838163</v>
      </c>
    </row>
    <row r="24" spans="1:26" x14ac:dyDescent="0.25">
      <c r="A24" s="1" t="s">
        <v>101</v>
      </c>
      <c r="B24" s="159" t="s">
        <v>102</v>
      </c>
      <c r="C24" s="160">
        <v>8952</v>
      </c>
      <c r="D24" s="160">
        <v>12689</v>
      </c>
      <c r="E24" s="160">
        <v>11591</v>
      </c>
      <c r="F24" s="160">
        <v>7728</v>
      </c>
      <c r="G24" s="160">
        <v>9219</v>
      </c>
      <c r="H24" s="161">
        <f>IFERROR(G24/F24-1,"-")</f>
        <v>0.19293478260869557</v>
      </c>
      <c r="I24" s="178">
        <f t="shared" si="1"/>
        <v>2.9825737265415597E-2</v>
      </c>
      <c r="J24" s="161">
        <f>G24/G$9</f>
        <v>1.212847580356579E-2</v>
      </c>
      <c r="K24" s="160">
        <v>198275</v>
      </c>
      <c r="L24" s="160">
        <v>161372</v>
      </c>
      <c r="M24" s="160">
        <v>131439</v>
      </c>
      <c r="N24" s="160">
        <v>120665</v>
      </c>
      <c r="O24" s="160">
        <v>102393</v>
      </c>
      <c r="P24" s="161">
        <f>IFERROR(O24/N24-1,"-")</f>
        <v>-0.15142750590477771</v>
      </c>
      <c r="Q24" s="178">
        <f t="shared" si="9"/>
        <v>-0.48358088513428321</v>
      </c>
      <c r="R24" s="161">
        <f>O24/O$9</f>
        <v>2.9776339394376482E-2</v>
      </c>
      <c r="S24" s="160">
        <v>207227</v>
      </c>
      <c r="T24" s="160">
        <v>174061</v>
      </c>
      <c r="U24" s="160">
        <v>143030</v>
      </c>
      <c r="V24" s="160">
        <v>128393</v>
      </c>
      <c r="W24" s="160">
        <v>111612</v>
      </c>
      <c r="X24" s="161">
        <f>IFERROR(W24/V24-1,"-")</f>
        <v>-0.13070027182167254</v>
      </c>
      <c r="Y24" s="178">
        <f t="shared" si="10"/>
        <v>-0.46140223040433925</v>
      </c>
      <c r="Z24" s="161">
        <f t="shared" si="11"/>
        <v>3.4980375967505889E-2</v>
      </c>
    </row>
    <row r="25" spans="1:26" x14ac:dyDescent="0.25">
      <c r="A25" s="162" t="s">
        <v>108</v>
      </c>
      <c r="B25" s="163" t="s">
        <v>108</v>
      </c>
      <c r="C25" s="164">
        <v>4418</v>
      </c>
      <c r="D25" s="164">
        <v>6088</v>
      </c>
      <c r="E25" s="164">
        <v>5369</v>
      </c>
      <c r="F25" s="164">
        <v>2401</v>
      </c>
      <c r="G25" s="164">
        <v>3104</v>
      </c>
      <c r="H25" s="165">
        <f>IFERROR(G25/F25-1,"-")</f>
        <v>0.29279466888796324</v>
      </c>
      <c r="I25" s="179">
        <f t="shared" si="1"/>
        <v>-0.29741964689904932</v>
      </c>
      <c r="J25" s="165">
        <f>G25/G$9</f>
        <v>4.0836087313448543E-3</v>
      </c>
      <c r="K25" s="164">
        <v>92809</v>
      </c>
      <c r="L25" s="164">
        <v>62381</v>
      </c>
      <c r="M25" s="164">
        <v>49550</v>
      </c>
      <c r="N25" s="164">
        <v>41611</v>
      </c>
      <c r="O25" s="164">
        <v>46937</v>
      </c>
      <c r="P25" s="165">
        <f>IFERROR(O25/N25-1,"-")</f>
        <v>0.12799500132176589</v>
      </c>
      <c r="Q25" s="179">
        <f t="shared" si="9"/>
        <v>-0.494262409895592</v>
      </c>
      <c r="R25" s="165">
        <f>O25/O$9</f>
        <v>1.3649488169639028E-2</v>
      </c>
      <c r="S25" s="164">
        <v>97227</v>
      </c>
      <c r="T25" s="164">
        <v>68469</v>
      </c>
      <c r="U25" s="164">
        <v>54919</v>
      </c>
      <c r="V25" s="164">
        <v>44012</v>
      </c>
      <c r="W25" s="164">
        <v>50041</v>
      </c>
      <c r="X25" s="165">
        <f>IFERROR(W25/V25-1,"-")</f>
        <v>0.13698536762701075</v>
      </c>
      <c r="Y25" s="179">
        <f t="shared" si="10"/>
        <v>-0.48531786437923619</v>
      </c>
      <c r="Z25" s="165">
        <f t="shared" si="11"/>
        <v>1.3431358930010878E-2</v>
      </c>
    </row>
    <row r="26" spans="1:26" x14ac:dyDescent="0.25">
      <c r="A26" s="162" t="s">
        <v>105</v>
      </c>
      <c r="B26" s="163" t="s">
        <v>105</v>
      </c>
      <c r="C26" s="164">
        <v>4534</v>
      </c>
      <c r="D26" s="164">
        <v>6601</v>
      </c>
      <c r="E26" s="164">
        <v>6222</v>
      </c>
      <c r="F26" s="164">
        <v>5327</v>
      </c>
      <c r="G26" s="164">
        <v>6115</v>
      </c>
      <c r="H26" s="165">
        <f>IFERROR(G26/F26-1,"-")</f>
        <v>0.14792566172329646</v>
      </c>
      <c r="I26" s="179">
        <f t="shared" si="1"/>
        <v>0.34869872077635633</v>
      </c>
      <c r="J26" s="165">
        <f>G26/G$9</f>
        <v>8.0448670722209365E-3</v>
      </c>
      <c r="K26" s="164">
        <v>105466</v>
      </c>
      <c r="L26" s="164">
        <v>98991</v>
      </c>
      <c r="M26" s="164">
        <v>81889</v>
      </c>
      <c r="N26" s="164">
        <v>79054</v>
      </c>
      <c r="O26" s="164">
        <v>55456</v>
      </c>
      <c r="P26" s="165">
        <f>IFERROR(O26/N26-1,"-")</f>
        <v>-0.29850481949047492</v>
      </c>
      <c r="Q26" s="179">
        <f t="shared" si="9"/>
        <v>-0.47418125272599698</v>
      </c>
      <c r="R26" s="165">
        <f>O26/O$9</f>
        <v>1.6126851224737455E-2</v>
      </c>
      <c r="S26" s="164">
        <v>110000</v>
      </c>
      <c r="T26" s="164">
        <v>105592</v>
      </c>
      <c r="U26" s="164">
        <v>88111</v>
      </c>
      <c r="V26" s="164">
        <v>84381</v>
      </c>
      <c r="W26" s="164">
        <v>61571</v>
      </c>
      <c r="X26" s="165">
        <f>IFERROR(W26/V26-1,"-")</f>
        <v>-0.27032151787724723</v>
      </c>
      <c r="Y26" s="179">
        <f t="shared" si="10"/>
        <v>-0.44026363636363641</v>
      </c>
      <c r="Z26" s="165">
        <f t="shared" si="11"/>
        <v>2.1549017037495011E-2</v>
      </c>
    </row>
    <row r="27" spans="1:26" x14ac:dyDescent="0.25">
      <c r="A27" s="1" t="s">
        <v>151</v>
      </c>
      <c r="B27" s="159" t="s">
        <v>112</v>
      </c>
      <c r="C27" s="160">
        <v>55994</v>
      </c>
      <c r="D27" s="160">
        <v>152576</v>
      </c>
      <c r="E27" s="160">
        <v>154035</v>
      </c>
      <c r="F27" s="160">
        <v>145171</v>
      </c>
      <c r="G27" s="160">
        <v>151384</v>
      </c>
      <c r="H27" s="161">
        <f>IFERROR(G27/F27-1,"-")</f>
        <v>4.2797803969112369E-2</v>
      </c>
      <c r="I27" s="178">
        <f t="shared" si="1"/>
        <v>1.7035753830767582</v>
      </c>
      <c r="J27" s="161">
        <f>G27/G$9</f>
        <v>0.19916012377123371</v>
      </c>
      <c r="K27" s="160">
        <v>489547</v>
      </c>
      <c r="L27" s="160">
        <v>1163992</v>
      </c>
      <c r="M27" s="160">
        <v>1246457</v>
      </c>
      <c r="N27" s="160">
        <v>1300356</v>
      </c>
      <c r="O27" s="160">
        <v>1215449</v>
      </c>
      <c r="P27" s="161">
        <f>IFERROR(O27/N27-1,"-")</f>
        <v>-6.5295196084764529E-2</v>
      </c>
      <c r="Q27" s="178">
        <f t="shared" si="9"/>
        <v>1.4828034897568569</v>
      </c>
      <c r="R27" s="161">
        <f>O27/O$9</f>
        <v>0.35345797017916752</v>
      </c>
      <c r="S27" s="160">
        <v>545541</v>
      </c>
      <c r="T27" s="160">
        <v>1316568</v>
      </c>
      <c r="U27" s="160">
        <v>1400492</v>
      </c>
      <c r="V27" s="160">
        <v>1445527</v>
      </c>
      <c r="W27" s="160">
        <v>1366833</v>
      </c>
      <c r="X27" s="161">
        <f>IFERROR(W27/V27-1,"-")</f>
        <v>-5.44396611062955E-2</v>
      </c>
      <c r="Y27" s="178">
        <f t="shared" si="10"/>
        <v>1.5054633840536273</v>
      </c>
      <c r="Z27" s="161">
        <f t="shared" si="11"/>
        <v>0.34251371530087577</v>
      </c>
    </row>
    <row r="28" spans="1:26" x14ac:dyDescent="0.25">
      <c r="A28" s="162" t="s">
        <v>115</v>
      </c>
      <c r="B28" s="163" t="s">
        <v>115</v>
      </c>
      <c r="C28" s="164">
        <v>16270</v>
      </c>
      <c r="D28" s="164">
        <v>66823</v>
      </c>
      <c r="E28" s="164">
        <v>69319</v>
      </c>
      <c r="F28" s="164">
        <v>63618</v>
      </c>
      <c r="G28" s="164">
        <v>64714</v>
      </c>
      <c r="H28" s="165">
        <f t="shared" ref="H28:H35" si="12">IFERROR(G28/F28-1,"-")</f>
        <v>1.7227828601968032E-2</v>
      </c>
      <c r="I28" s="179">
        <f t="shared" si="1"/>
        <v>2.9775046097111248</v>
      </c>
      <c r="J28" s="165">
        <f t="shared" ref="J28:J35" si="13">G28/G$9</f>
        <v>8.5137453427915885E-2</v>
      </c>
      <c r="K28" s="164">
        <v>159037</v>
      </c>
      <c r="L28" s="164">
        <v>590382</v>
      </c>
      <c r="M28" s="164">
        <v>640725</v>
      </c>
      <c r="N28" s="164">
        <v>669764</v>
      </c>
      <c r="O28" s="164">
        <v>630571</v>
      </c>
      <c r="P28" s="165">
        <f t="shared" ref="P28:P35" si="14">IFERROR(O28/N28-1,"-")</f>
        <v>-5.8517627104472614E-2</v>
      </c>
      <c r="Q28" s="179">
        <f t="shared" si="9"/>
        <v>2.9649326886196294</v>
      </c>
      <c r="R28" s="165">
        <f t="shared" ref="R28:R35" si="15">O28/O$9</f>
        <v>0.18337284881047897</v>
      </c>
      <c r="S28" s="164">
        <v>175307</v>
      </c>
      <c r="T28" s="164">
        <v>657205</v>
      </c>
      <c r="U28" s="164">
        <v>710044</v>
      </c>
      <c r="V28" s="164">
        <v>733382</v>
      </c>
      <c r="W28" s="164">
        <v>695285</v>
      </c>
      <c r="X28" s="165">
        <f t="shared" ref="X28:X35" si="16">IFERROR(W28/V28-1,"-")</f>
        <v>-5.1947007153161695E-2</v>
      </c>
      <c r="Y28" s="179">
        <f t="shared" si="10"/>
        <v>2.966099471213357</v>
      </c>
      <c r="Z28" s="165">
        <f t="shared" si="11"/>
        <v>0.17365312223639623</v>
      </c>
    </row>
    <row r="29" spans="1:26" x14ac:dyDescent="0.25">
      <c r="A29" s="162" t="s">
        <v>118</v>
      </c>
      <c r="B29" s="163" t="s">
        <v>118</v>
      </c>
      <c r="C29" s="164">
        <v>14336</v>
      </c>
      <c r="D29" s="164">
        <v>27397</v>
      </c>
      <c r="E29" s="164">
        <v>30224</v>
      </c>
      <c r="F29" s="164">
        <v>29376</v>
      </c>
      <c r="G29" s="164">
        <v>30419</v>
      </c>
      <c r="H29" s="165">
        <f t="shared" si="12"/>
        <v>3.5505174291939001E-2</v>
      </c>
      <c r="I29" s="179">
        <f t="shared" si="1"/>
        <v>1.1218610491071428</v>
      </c>
      <c r="J29" s="165">
        <f t="shared" si="13"/>
        <v>4.0019102448060284E-2</v>
      </c>
      <c r="K29" s="164">
        <v>81095</v>
      </c>
      <c r="L29" s="164">
        <v>128496</v>
      </c>
      <c r="M29" s="164">
        <v>137354</v>
      </c>
      <c r="N29" s="164">
        <v>137486</v>
      </c>
      <c r="O29" s="164">
        <v>125843</v>
      </c>
      <c r="P29" s="165">
        <f t="shared" si="14"/>
        <v>-8.4684986107676385E-2</v>
      </c>
      <c r="Q29" s="179">
        <f t="shared" si="9"/>
        <v>0.55179727480115903</v>
      </c>
      <c r="R29" s="165">
        <f t="shared" si="15"/>
        <v>3.6595703596989243E-2</v>
      </c>
      <c r="S29" s="164">
        <v>95431</v>
      </c>
      <c r="T29" s="164">
        <v>155893</v>
      </c>
      <c r="U29" s="164">
        <v>167578</v>
      </c>
      <c r="V29" s="164">
        <v>166862</v>
      </c>
      <c r="W29" s="164">
        <v>156262</v>
      </c>
      <c r="X29" s="165">
        <f t="shared" si="16"/>
        <v>-6.3525548057676406E-2</v>
      </c>
      <c r="Y29" s="179">
        <f t="shared" si="10"/>
        <v>0.63743437667005476</v>
      </c>
      <c r="Z29" s="165">
        <f t="shared" si="11"/>
        <v>4.098399946782285E-2</v>
      </c>
    </row>
    <row r="30" spans="1:26" x14ac:dyDescent="0.25">
      <c r="A30" s="162" t="s">
        <v>121</v>
      </c>
      <c r="B30" s="163" t="s">
        <v>121</v>
      </c>
      <c r="C30" s="164">
        <v>4987</v>
      </c>
      <c r="D30" s="164">
        <v>4132</v>
      </c>
      <c r="E30" s="164">
        <v>2982</v>
      </c>
      <c r="F30" s="164">
        <v>3034</v>
      </c>
      <c r="G30" s="164">
        <v>3330</v>
      </c>
      <c r="H30" s="165">
        <f t="shared" si="12"/>
        <v>9.7560975609756184E-2</v>
      </c>
      <c r="I30" s="179">
        <f t="shared" si="1"/>
        <v>-0.33226388610387003</v>
      </c>
      <c r="J30" s="165">
        <f t="shared" si="13"/>
        <v>4.3809333361399371E-3</v>
      </c>
      <c r="K30" s="164">
        <v>30800</v>
      </c>
      <c r="L30" s="164">
        <v>48228</v>
      </c>
      <c r="M30" s="164">
        <v>43563</v>
      </c>
      <c r="N30" s="164">
        <v>39137</v>
      </c>
      <c r="O30" s="164">
        <v>36886</v>
      </c>
      <c r="P30" s="165">
        <f t="shared" si="14"/>
        <v>-5.7515905664716205E-2</v>
      </c>
      <c r="Q30" s="179">
        <f t="shared" si="9"/>
        <v>0.19759740259740255</v>
      </c>
      <c r="R30" s="165">
        <f t="shared" si="15"/>
        <v>1.0726612706932807E-2</v>
      </c>
      <c r="S30" s="164">
        <v>35787</v>
      </c>
      <c r="T30" s="164">
        <v>52360</v>
      </c>
      <c r="U30" s="164">
        <v>46545</v>
      </c>
      <c r="V30" s="164">
        <v>42171</v>
      </c>
      <c r="W30" s="164">
        <v>40216</v>
      </c>
      <c r="X30" s="165">
        <f t="shared" si="16"/>
        <v>-4.635887221076096E-2</v>
      </c>
      <c r="Y30" s="179">
        <f t="shared" si="10"/>
        <v>0.12376002458993485</v>
      </c>
      <c r="Z30" s="165">
        <f t="shared" si="11"/>
        <v>1.1383357333479421E-2</v>
      </c>
    </row>
    <row r="31" spans="1:26" x14ac:dyDescent="0.25">
      <c r="A31" s="162" t="s">
        <v>128</v>
      </c>
      <c r="B31" s="163" t="s">
        <v>128</v>
      </c>
      <c r="C31" s="164">
        <v>3938</v>
      </c>
      <c r="D31" s="164">
        <v>7950</v>
      </c>
      <c r="E31" s="164">
        <v>4040</v>
      </c>
      <c r="F31" s="164">
        <v>3255</v>
      </c>
      <c r="G31" s="164">
        <v>3744</v>
      </c>
      <c r="H31" s="165">
        <f t="shared" si="12"/>
        <v>0.15023041474654386</v>
      </c>
      <c r="I31" s="179">
        <f t="shared" si="1"/>
        <v>-4.9263585576434732E-2</v>
      </c>
      <c r="J31" s="165">
        <f t="shared" si="13"/>
        <v>4.9255899130654429E-3</v>
      </c>
      <c r="K31" s="164">
        <v>32115</v>
      </c>
      <c r="L31" s="164">
        <v>56445</v>
      </c>
      <c r="M31" s="164">
        <v>53432</v>
      </c>
      <c r="N31" s="164">
        <v>57796</v>
      </c>
      <c r="O31" s="164">
        <v>53210</v>
      </c>
      <c r="P31" s="165">
        <f t="shared" si="14"/>
        <v>-7.9348051768288408E-2</v>
      </c>
      <c r="Q31" s="179">
        <f t="shared" si="9"/>
        <v>0.6568581659660595</v>
      </c>
      <c r="R31" s="165">
        <f t="shared" si="15"/>
        <v>1.5473704444393391E-2</v>
      </c>
      <c r="S31" s="164">
        <v>36053</v>
      </c>
      <c r="T31" s="164">
        <v>64395</v>
      </c>
      <c r="U31" s="164">
        <v>57472</v>
      </c>
      <c r="V31" s="164">
        <v>61051</v>
      </c>
      <c r="W31" s="164">
        <v>56954</v>
      </c>
      <c r="X31" s="165">
        <f t="shared" si="16"/>
        <v>-6.7107827881607185E-2</v>
      </c>
      <c r="Y31" s="179">
        <f t="shared" si="10"/>
        <v>0.57972984217679535</v>
      </c>
      <c r="Z31" s="165">
        <f t="shared" si="11"/>
        <v>1.4055737730577491E-2</v>
      </c>
    </row>
    <row r="32" spans="1:26" x14ac:dyDescent="0.25">
      <c r="A32" s="162" t="s">
        <v>124</v>
      </c>
      <c r="B32" s="163" t="s">
        <v>124</v>
      </c>
      <c r="C32" s="164">
        <v>2232</v>
      </c>
      <c r="D32" s="164">
        <v>4497</v>
      </c>
      <c r="E32" s="164">
        <v>3231</v>
      </c>
      <c r="F32" s="164">
        <v>2567</v>
      </c>
      <c r="G32" s="164">
        <v>2688</v>
      </c>
      <c r="H32" s="165">
        <f t="shared" si="12"/>
        <v>4.713673548889763E-2</v>
      </c>
      <c r="I32" s="179">
        <f t="shared" si="1"/>
        <v>0.20430107526881724</v>
      </c>
      <c r="J32" s="165">
        <f t="shared" si="13"/>
        <v>3.536320963226472E-3</v>
      </c>
      <c r="K32" s="164">
        <v>46414</v>
      </c>
      <c r="L32" s="164">
        <v>73182</v>
      </c>
      <c r="M32" s="164">
        <v>71425</v>
      </c>
      <c r="N32" s="164">
        <v>73828</v>
      </c>
      <c r="O32" s="164">
        <v>70496</v>
      </c>
      <c r="P32" s="165">
        <f t="shared" si="14"/>
        <v>-4.5131928265698673E-2</v>
      </c>
      <c r="Q32" s="179">
        <f t="shared" si="9"/>
        <v>0.51885207049597115</v>
      </c>
      <c r="R32" s="165">
        <f t="shared" si="15"/>
        <v>2.0500550056605085E-2</v>
      </c>
      <c r="S32" s="164">
        <v>48646</v>
      </c>
      <c r="T32" s="164">
        <v>77679</v>
      </c>
      <c r="U32" s="164">
        <v>74656</v>
      </c>
      <c r="V32" s="164">
        <v>76395</v>
      </c>
      <c r="W32" s="164">
        <v>73184</v>
      </c>
      <c r="X32" s="165">
        <f t="shared" si="16"/>
        <v>-4.2031546567183664E-2</v>
      </c>
      <c r="Y32" s="179">
        <f t="shared" si="10"/>
        <v>0.50441968507174284</v>
      </c>
      <c r="Z32" s="165">
        <f t="shared" si="11"/>
        <v>1.8258372007481784E-2</v>
      </c>
    </row>
    <row r="33" spans="1:26" x14ac:dyDescent="0.25">
      <c r="A33" s="162" t="s">
        <v>133</v>
      </c>
      <c r="B33" s="163" t="s">
        <v>133</v>
      </c>
      <c r="C33" s="164">
        <v>590</v>
      </c>
      <c r="D33" s="164">
        <v>1708</v>
      </c>
      <c r="E33" s="164">
        <v>2116</v>
      </c>
      <c r="F33" s="164">
        <v>2577</v>
      </c>
      <c r="G33" s="164">
        <v>2806</v>
      </c>
      <c r="H33" s="165">
        <f t="shared" si="12"/>
        <v>8.886301901435778E-2</v>
      </c>
      <c r="I33" s="179">
        <f t="shared" si="1"/>
        <v>3.7559322033898308</v>
      </c>
      <c r="J33" s="165">
        <f t="shared" si="13"/>
        <v>3.6915612436062054E-3</v>
      </c>
      <c r="K33" s="164">
        <v>5697</v>
      </c>
      <c r="L33" s="164">
        <v>18357</v>
      </c>
      <c r="M33" s="164">
        <v>18855</v>
      </c>
      <c r="N33" s="164">
        <v>18273</v>
      </c>
      <c r="O33" s="164">
        <v>16305</v>
      </c>
      <c r="P33" s="165">
        <f t="shared" si="14"/>
        <v>-0.10769988507634209</v>
      </c>
      <c r="Q33" s="179">
        <f t="shared" si="9"/>
        <v>1.8620326487625065</v>
      </c>
      <c r="R33" s="165">
        <f t="shared" si="15"/>
        <v>4.7415664530320286E-3</v>
      </c>
      <c r="S33" s="164">
        <v>6287</v>
      </c>
      <c r="T33" s="164">
        <v>20065</v>
      </c>
      <c r="U33" s="164">
        <v>20971</v>
      </c>
      <c r="V33" s="164">
        <v>20850</v>
      </c>
      <c r="W33" s="164">
        <v>19111</v>
      </c>
      <c r="X33" s="165">
        <f t="shared" si="16"/>
        <v>-8.3405275779376509E-2</v>
      </c>
      <c r="Y33" s="179">
        <f t="shared" si="10"/>
        <v>2.0397645936058533</v>
      </c>
      <c r="Z33" s="165">
        <f t="shared" si="11"/>
        <v>5.1288083927467382E-3</v>
      </c>
    </row>
    <row r="34" spans="1:26" x14ac:dyDescent="0.25">
      <c r="A34" s="162" t="s">
        <v>136</v>
      </c>
      <c r="B34" s="163" t="s">
        <v>136</v>
      </c>
      <c r="C34" s="164">
        <v>195</v>
      </c>
      <c r="D34" s="164">
        <v>794</v>
      </c>
      <c r="E34" s="164">
        <v>833</v>
      </c>
      <c r="F34" s="164">
        <v>620</v>
      </c>
      <c r="G34" s="164">
        <v>522</v>
      </c>
      <c r="H34" s="165">
        <f t="shared" si="12"/>
        <v>-0.15806451612903227</v>
      </c>
      <c r="I34" s="179">
        <f t="shared" si="1"/>
        <v>1.6769230769230767</v>
      </c>
      <c r="J34" s="165">
        <f t="shared" si="13"/>
        <v>6.8674090134085506E-4</v>
      </c>
      <c r="K34" s="164">
        <v>4211</v>
      </c>
      <c r="L34" s="164">
        <v>16482</v>
      </c>
      <c r="M34" s="164">
        <v>21196</v>
      </c>
      <c r="N34" s="164">
        <v>19378</v>
      </c>
      <c r="O34" s="164">
        <v>16679</v>
      </c>
      <c r="P34" s="165">
        <f t="shared" si="14"/>
        <v>-0.1392816596139953</v>
      </c>
      <c r="Q34" s="179">
        <f t="shared" si="9"/>
        <v>2.960816908097839</v>
      </c>
      <c r="R34" s="165">
        <f t="shared" si="15"/>
        <v>4.8503273149415032E-3</v>
      </c>
      <c r="S34" s="164">
        <v>4406</v>
      </c>
      <c r="T34" s="164">
        <v>17276</v>
      </c>
      <c r="U34" s="164">
        <v>22029</v>
      </c>
      <c r="V34" s="164">
        <v>19998</v>
      </c>
      <c r="W34" s="164">
        <v>17201</v>
      </c>
      <c r="X34" s="165">
        <f t="shared" si="16"/>
        <v>-0.13986398639863984</v>
      </c>
      <c r="Y34" s="179">
        <f t="shared" si="10"/>
        <v>2.9039945528824331</v>
      </c>
      <c r="Z34" s="165">
        <f t="shared" si="11"/>
        <v>5.3875599677563257E-3</v>
      </c>
    </row>
    <row r="35" spans="1:26" x14ac:dyDescent="0.25">
      <c r="A35" s="167" t="s">
        <v>150</v>
      </c>
      <c r="B35" s="168" t="s">
        <v>150</v>
      </c>
      <c r="C35" s="169">
        <f>C27-SUM(C28:C34)</f>
        <v>13446</v>
      </c>
      <c r="D35" s="169">
        <f>D27-SUM(D28:D34)</f>
        <v>39275</v>
      </c>
      <c r="E35" s="169">
        <f>E27-SUM(E28:E34)</f>
        <v>41290</v>
      </c>
      <c r="F35" s="169">
        <f>F27-SUM(F28:F34)</f>
        <v>40124</v>
      </c>
      <c r="G35" s="169">
        <f>G27-SUM(G28:G34)</f>
        <v>43161</v>
      </c>
      <c r="H35" s="170">
        <f t="shared" si="12"/>
        <v>7.5690359884358571E-2</v>
      </c>
      <c r="I35" s="180">
        <f t="shared" si="1"/>
        <v>2.2099509147701917</v>
      </c>
      <c r="J35" s="170">
        <f t="shared" si="13"/>
        <v>5.678242153787863E-2</v>
      </c>
      <c r="K35" s="169">
        <f>K27-SUM(K28:K34)</f>
        <v>130178</v>
      </c>
      <c r="L35" s="169">
        <f>L27-SUM(L28:L34)</f>
        <v>232420</v>
      </c>
      <c r="M35" s="169">
        <f>M27-SUM(M28:M34)</f>
        <v>259907</v>
      </c>
      <c r="N35" s="169">
        <f>N27-SUM(N28:N34)</f>
        <v>284694</v>
      </c>
      <c r="O35" s="169">
        <f>O27-SUM(O28:O34)</f>
        <v>265459</v>
      </c>
      <c r="P35" s="170">
        <f t="shared" si="14"/>
        <v>-6.7563770223468045E-2</v>
      </c>
      <c r="Q35" s="180">
        <f t="shared" si="9"/>
        <v>1.039200172072086</v>
      </c>
      <c r="R35" s="170">
        <f t="shared" si="15"/>
        <v>7.7196656795794502E-2</v>
      </c>
      <c r="S35" s="169">
        <f>S27-SUM(S28:S34)</f>
        <v>143624</v>
      </c>
      <c r="T35" s="169">
        <f>T27-SUM(T28:T34)</f>
        <v>271695</v>
      </c>
      <c r="U35" s="169">
        <f>U27-SUM(U28:U34)</f>
        <v>301197</v>
      </c>
      <c r="V35" s="169">
        <f>V27-SUM(V28:V34)</f>
        <v>324818</v>
      </c>
      <c r="W35" s="169">
        <f>W27-SUM(W28:W34)</f>
        <v>308620</v>
      </c>
      <c r="X35" s="170">
        <f t="shared" si="16"/>
        <v>-4.9867926038581589E-2</v>
      </c>
      <c r="Y35" s="180">
        <f t="shared" si="10"/>
        <v>1.1488052136133238</v>
      </c>
      <c r="Z35" s="170">
        <f t="shared" si="11"/>
        <v>7.3662758164614914E-2</v>
      </c>
    </row>
    <row r="36" spans="1:26" x14ac:dyDescent="0.25">
      <c r="A36" s="1"/>
      <c r="B36" s="155" t="s">
        <v>47</v>
      </c>
      <c r="C36" s="153"/>
      <c r="D36" s="153"/>
      <c r="E36" s="153"/>
      <c r="F36" s="153"/>
      <c r="G36" s="153"/>
      <c r="H36" s="153"/>
      <c r="I36" s="153"/>
      <c r="J36" s="153"/>
      <c r="K36" s="153"/>
      <c r="L36" s="153"/>
      <c r="M36" s="153"/>
      <c r="N36" s="153"/>
      <c r="O36" s="153"/>
      <c r="P36" s="153"/>
      <c r="Q36" s="153"/>
      <c r="R36" s="153"/>
      <c r="S36" s="153"/>
      <c r="T36" s="153"/>
      <c r="U36" s="153"/>
      <c r="V36" s="153"/>
      <c r="W36" s="153"/>
      <c r="X36" s="153"/>
      <c r="Y36" s="153"/>
      <c r="Z36" s="153"/>
    </row>
    <row r="37" spans="1:26" x14ac:dyDescent="0.25">
      <c r="A37" s="1" t="s">
        <v>0</v>
      </c>
      <c r="B37" s="156" t="s">
        <v>73</v>
      </c>
      <c r="C37" s="176">
        <f>C38+C41</f>
        <v>50672</v>
      </c>
      <c r="D37" s="176">
        <f>D38+D41</f>
        <v>179190</v>
      </c>
      <c r="E37" s="176">
        <f>E38+E41</f>
        <v>201032</v>
      </c>
      <c r="F37" s="176">
        <f>F38+F41</f>
        <v>210205</v>
      </c>
      <c r="G37" s="176">
        <f>G38+G41</f>
        <v>189976</v>
      </c>
      <c r="H37" s="177">
        <f>IFERROR(G37/F37-1,"-")</f>
        <v>-9.6234628101139363E-2</v>
      </c>
      <c r="I37" s="177">
        <f t="shared" si="1"/>
        <v>2.7491316703504896</v>
      </c>
      <c r="J37" s="177">
        <f>G37/G$9</f>
        <v>0.24993158902898521</v>
      </c>
      <c r="K37" s="176">
        <f>K38+K41</f>
        <v>206077</v>
      </c>
      <c r="L37" s="176">
        <f>L38+L41</f>
        <v>573367</v>
      </c>
      <c r="M37" s="176">
        <f>M38+M41</f>
        <v>609879</v>
      </c>
      <c r="N37" s="176">
        <f>N38+N41</f>
        <v>651234</v>
      </c>
      <c r="O37" s="176">
        <f>O38+O41</f>
        <v>686791</v>
      </c>
      <c r="P37" s="177">
        <f>IFERROR(O37/N37-1,"-")</f>
        <v>5.4599422020348953E-2</v>
      </c>
      <c r="Q37" s="177">
        <f t="shared" si="9"/>
        <v>2.3326911785400601</v>
      </c>
      <c r="R37" s="177">
        <f>O37/O$9</f>
        <v>0.19972187463013311</v>
      </c>
      <c r="S37" s="176">
        <f>S38+S41</f>
        <v>256749</v>
      </c>
      <c r="T37" s="176">
        <f>T38+T41</f>
        <v>752557</v>
      </c>
      <c r="U37" s="176">
        <f>U38+U41</f>
        <v>810911</v>
      </c>
      <c r="V37" s="176">
        <f>V38+V41</f>
        <v>861439</v>
      </c>
      <c r="W37" s="176">
        <f>W38+W41</f>
        <v>876767</v>
      </c>
      <c r="X37" s="177">
        <f>IFERROR(W37/V37-1,"-")</f>
        <v>1.7793482765465773E-2</v>
      </c>
      <c r="Y37" s="177">
        <f t="shared" si="10"/>
        <v>2.4148799021612546</v>
      </c>
      <c r="Z37" s="177">
        <f t="shared" ref="Z37:Z49" si="17">U37/U$9</f>
        <v>0.19832183217636976</v>
      </c>
    </row>
    <row r="38" spans="1:26" x14ac:dyDescent="0.25">
      <c r="A38" s="1" t="s">
        <v>101</v>
      </c>
      <c r="B38" s="159" t="s">
        <v>102</v>
      </c>
      <c r="C38" s="160">
        <v>6062</v>
      </c>
      <c r="D38" s="160">
        <v>22234</v>
      </c>
      <c r="E38" s="160">
        <v>28199</v>
      </c>
      <c r="F38" s="160">
        <v>31522</v>
      </c>
      <c r="G38" s="160">
        <v>21772</v>
      </c>
      <c r="H38" s="161">
        <f>IFERROR(G38/F38-1,"-")</f>
        <v>-0.30930778503902034</v>
      </c>
      <c r="I38" s="178">
        <f t="shared" si="1"/>
        <v>2.5915539425932037</v>
      </c>
      <c r="J38" s="161">
        <f>G38/G$9</f>
        <v>2.8643147325657273E-2</v>
      </c>
      <c r="K38" s="160">
        <v>33772</v>
      </c>
      <c r="L38" s="160">
        <v>60854</v>
      </c>
      <c r="M38" s="160">
        <v>53463</v>
      </c>
      <c r="N38" s="160">
        <v>49257</v>
      </c>
      <c r="O38" s="160">
        <v>58204</v>
      </c>
      <c r="P38" s="161">
        <f>IFERROR(O38/N38-1,"-")</f>
        <v>0.18163915788618867</v>
      </c>
      <c r="Q38" s="178">
        <f t="shared" si="9"/>
        <v>0.72343953571005559</v>
      </c>
      <c r="R38" s="161">
        <f>O38/O$9</f>
        <v>1.6925981835772843E-2</v>
      </c>
      <c r="S38" s="160">
        <v>39834</v>
      </c>
      <c r="T38" s="160">
        <v>83088</v>
      </c>
      <c r="U38" s="160">
        <v>81662</v>
      </c>
      <c r="V38" s="160">
        <v>80779</v>
      </c>
      <c r="W38" s="160">
        <v>79976</v>
      </c>
      <c r="X38" s="161">
        <f>IFERROR(W38/V38-1,"-")</f>
        <v>-9.9407024102798891E-3</v>
      </c>
      <c r="Y38" s="178">
        <f t="shared" si="10"/>
        <v>1.0077320881658882</v>
      </c>
      <c r="Z38" s="161">
        <f t="shared" si="17"/>
        <v>1.9971806350125611E-2</v>
      </c>
    </row>
    <row r="39" spans="1:26" x14ac:dyDescent="0.25">
      <c r="A39" s="162" t="s">
        <v>108</v>
      </c>
      <c r="B39" s="163" t="s">
        <v>108</v>
      </c>
      <c r="C39" s="164">
        <v>4351</v>
      </c>
      <c r="D39" s="164">
        <v>9363</v>
      </c>
      <c r="E39" s="164">
        <v>15617</v>
      </c>
      <c r="F39" s="164">
        <v>21291</v>
      </c>
      <c r="G39" s="164">
        <v>11825</v>
      </c>
      <c r="H39" s="165">
        <f>IFERROR(G39/F39-1,"-")</f>
        <v>-0.44460100511953404</v>
      </c>
      <c r="I39" s="179">
        <f t="shared" si="1"/>
        <v>1.717766030797518</v>
      </c>
      <c r="J39" s="165">
        <f>G39/G$9</f>
        <v>1.5556917927884311E-2</v>
      </c>
      <c r="K39" s="164">
        <v>4726</v>
      </c>
      <c r="L39" s="164">
        <v>9315</v>
      </c>
      <c r="M39" s="164">
        <v>14016</v>
      </c>
      <c r="N39" s="164">
        <v>10087</v>
      </c>
      <c r="O39" s="164">
        <v>18014</v>
      </c>
      <c r="P39" s="165">
        <f>IFERROR(O39/N39-1,"-")</f>
        <v>0.78586299196986209</v>
      </c>
      <c r="Q39" s="179">
        <f t="shared" si="9"/>
        <v>2.8116800677105376</v>
      </c>
      <c r="R39" s="165">
        <f>O39/O$9</f>
        <v>5.238551247158477E-3</v>
      </c>
      <c r="S39" s="164">
        <v>9077</v>
      </c>
      <c r="T39" s="164">
        <v>18678</v>
      </c>
      <c r="U39" s="164">
        <v>29633</v>
      </c>
      <c r="V39" s="164">
        <v>31378</v>
      </c>
      <c r="W39" s="164">
        <v>29839</v>
      </c>
      <c r="X39" s="165">
        <f>IFERROR(W39/V39-1,"-")</f>
        <v>-4.9047103065842257E-2</v>
      </c>
      <c r="Y39" s="179">
        <f t="shared" si="10"/>
        <v>2.2873195989864494</v>
      </c>
      <c r="Z39" s="165">
        <f t="shared" si="17"/>
        <v>7.2472452006229603E-3</v>
      </c>
    </row>
    <row r="40" spans="1:26" x14ac:dyDescent="0.25">
      <c r="A40" s="162" t="s">
        <v>105</v>
      </c>
      <c r="B40" s="163" t="s">
        <v>105</v>
      </c>
      <c r="C40" s="164">
        <v>1711</v>
      </c>
      <c r="D40" s="164">
        <v>12871</v>
      </c>
      <c r="E40" s="164">
        <v>12582</v>
      </c>
      <c r="F40" s="164">
        <v>10231</v>
      </c>
      <c r="G40" s="164">
        <v>9947</v>
      </c>
      <c r="H40" s="165">
        <f>IFERROR(G40/F40-1,"-")</f>
        <v>-2.7758772358518202E-2</v>
      </c>
      <c r="I40" s="179">
        <f t="shared" si="1"/>
        <v>4.8135593220338979</v>
      </c>
      <c r="J40" s="165">
        <f>G40/G$9</f>
        <v>1.308622939777296E-2</v>
      </c>
      <c r="K40" s="164">
        <v>29046</v>
      </c>
      <c r="L40" s="164">
        <v>51539</v>
      </c>
      <c r="M40" s="164">
        <v>39447</v>
      </c>
      <c r="N40" s="164">
        <v>39170</v>
      </c>
      <c r="O40" s="164">
        <v>40190</v>
      </c>
      <c r="P40" s="165">
        <f>IFERROR(O40/N40-1,"-")</f>
        <v>2.6040336992596336E-2</v>
      </c>
      <c r="Q40" s="179">
        <f t="shared" si="9"/>
        <v>0.3836672863733388</v>
      </c>
      <c r="R40" s="165">
        <f>O40/O$9</f>
        <v>1.1687430588614366E-2</v>
      </c>
      <c r="S40" s="164">
        <v>30757</v>
      </c>
      <c r="T40" s="164">
        <v>64410</v>
      </c>
      <c r="U40" s="164">
        <v>52029</v>
      </c>
      <c r="V40" s="164">
        <v>49401</v>
      </c>
      <c r="W40" s="164">
        <v>50137</v>
      </c>
      <c r="X40" s="165">
        <f>IFERROR(W40/V40-1,"-")</f>
        <v>1.48984838363595E-2</v>
      </c>
      <c r="Y40" s="179">
        <f t="shared" si="10"/>
        <v>0.63010046493481164</v>
      </c>
      <c r="Z40" s="165">
        <f t="shared" si="17"/>
        <v>1.2724561149502649E-2</v>
      </c>
    </row>
    <row r="41" spans="1:26" x14ac:dyDescent="0.25">
      <c r="A41" s="1" t="s">
        <v>151</v>
      </c>
      <c r="B41" s="159" t="s">
        <v>112</v>
      </c>
      <c r="C41" s="160">
        <v>44610</v>
      </c>
      <c r="D41" s="160">
        <v>156956</v>
      </c>
      <c r="E41" s="160">
        <v>172833</v>
      </c>
      <c r="F41" s="160">
        <v>178683</v>
      </c>
      <c r="G41" s="160">
        <v>168204</v>
      </c>
      <c r="H41" s="161">
        <f>IFERROR(G41/F41-1,"-")</f>
        <v>-5.8645758130320136E-2</v>
      </c>
      <c r="I41" s="178">
        <f t="shared" si="1"/>
        <v>2.770544720914593</v>
      </c>
      <c r="J41" s="161">
        <f>G41/G$9</f>
        <v>0.22128844170332793</v>
      </c>
      <c r="K41" s="160">
        <v>172305</v>
      </c>
      <c r="L41" s="160">
        <v>512513</v>
      </c>
      <c r="M41" s="160">
        <v>556416</v>
      </c>
      <c r="N41" s="160">
        <v>601977</v>
      </c>
      <c r="O41" s="160">
        <v>628587</v>
      </c>
      <c r="P41" s="161">
        <f>IFERROR(O41/N41-1,"-")</f>
        <v>4.4204346677696904E-2</v>
      </c>
      <c r="Q41" s="178">
        <f t="shared" si="9"/>
        <v>2.6481065552363541</v>
      </c>
      <c r="R41" s="161">
        <f>O41/O$9</f>
        <v>0.18279589279436026</v>
      </c>
      <c r="S41" s="160">
        <v>216915</v>
      </c>
      <c r="T41" s="160">
        <v>669469</v>
      </c>
      <c r="U41" s="160">
        <v>729249</v>
      </c>
      <c r="V41" s="160">
        <v>780660</v>
      </c>
      <c r="W41" s="160">
        <v>796791</v>
      </c>
      <c r="X41" s="161">
        <f>IFERROR(W41/V41-1,"-")</f>
        <v>2.0663284912766144E-2</v>
      </c>
      <c r="Y41" s="178">
        <f t="shared" si="10"/>
        <v>2.6732867713159534</v>
      </c>
      <c r="Z41" s="161">
        <f t="shared" si="17"/>
        <v>0.17835002582624415</v>
      </c>
    </row>
    <row r="42" spans="1:26" x14ac:dyDescent="0.25">
      <c r="A42" s="162" t="s">
        <v>115</v>
      </c>
      <c r="B42" s="163" t="s">
        <v>115</v>
      </c>
      <c r="C42" s="164">
        <v>17021</v>
      </c>
      <c r="D42" s="164">
        <v>75160</v>
      </c>
      <c r="E42" s="164">
        <v>74704</v>
      </c>
      <c r="F42" s="164">
        <v>75962</v>
      </c>
      <c r="G42" s="164">
        <v>64357</v>
      </c>
      <c r="H42" s="165">
        <f t="shared" ref="H42:H49" si="18">IFERROR(G42/F42-1,"-")</f>
        <v>-0.15277375529870196</v>
      </c>
      <c r="I42" s="179">
        <f t="shared" si="1"/>
        <v>2.781035191821867</v>
      </c>
      <c r="J42" s="165">
        <f t="shared" ref="J42:J49" si="19">G42/G$9</f>
        <v>8.4667785799987363E-2</v>
      </c>
      <c r="K42" s="164">
        <v>63769</v>
      </c>
      <c r="L42" s="164">
        <v>269103</v>
      </c>
      <c r="M42" s="164">
        <v>299592</v>
      </c>
      <c r="N42" s="164">
        <v>337098</v>
      </c>
      <c r="O42" s="164">
        <v>344030</v>
      </c>
      <c r="P42" s="165">
        <f t="shared" ref="P42:P49" si="20">IFERROR(O42/N42-1,"-")</f>
        <v>2.0563752973912663E-2</v>
      </c>
      <c r="Q42" s="179">
        <f t="shared" si="9"/>
        <v>4.394941115589079</v>
      </c>
      <c r="R42" s="165">
        <f t="shared" ref="R42:R49" si="21">O42/O$9</f>
        <v>0.10004545273453597</v>
      </c>
      <c r="S42" s="164">
        <v>80790</v>
      </c>
      <c r="T42" s="164">
        <v>344263</v>
      </c>
      <c r="U42" s="164">
        <v>374296</v>
      </c>
      <c r="V42" s="164">
        <v>413060</v>
      </c>
      <c r="W42" s="164">
        <v>408387</v>
      </c>
      <c r="X42" s="165">
        <f t="shared" ref="X42:X49" si="22">IFERROR(W42/V42-1,"-")</f>
        <v>-1.1313126422311526E-2</v>
      </c>
      <c r="Y42" s="179">
        <f t="shared" si="10"/>
        <v>4.0549201633865577</v>
      </c>
      <c r="Z42" s="165">
        <f t="shared" si="17"/>
        <v>9.1540339810764065E-2</v>
      </c>
    </row>
    <row r="43" spans="1:26" x14ac:dyDescent="0.25">
      <c r="A43" s="162" t="s">
        <v>118</v>
      </c>
      <c r="B43" s="163" t="s">
        <v>118</v>
      </c>
      <c r="C43" s="164">
        <v>2578</v>
      </c>
      <c r="D43" s="164">
        <v>7845</v>
      </c>
      <c r="E43" s="164">
        <v>10851</v>
      </c>
      <c r="F43" s="164">
        <v>11127</v>
      </c>
      <c r="G43" s="164">
        <v>12948</v>
      </c>
      <c r="H43" s="165">
        <f t="shared" si="18"/>
        <v>0.16365597196009696</v>
      </c>
      <c r="I43" s="179">
        <f t="shared" si="1"/>
        <v>4.0224980605120244</v>
      </c>
      <c r="J43" s="165">
        <f t="shared" si="19"/>
        <v>1.7034331782684656E-2</v>
      </c>
      <c r="K43" s="164">
        <v>10918</v>
      </c>
      <c r="L43" s="164">
        <v>19949</v>
      </c>
      <c r="M43" s="164">
        <v>22563</v>
      </c>
      <c r="N43" s="164">
        <v>20333</v>
      </c>
      <c r="O43" s="164">
        <v>21621</v>
      </c>
      <c r="P43" s="165">
        <f t="shared" si="20"/>
        <v>6.3345300742635224E-2</v>
      </c>
      <c r="Q43" s="179">
        <f t="shared" si="9"/>
        <v>0.98030774867191783</v>
      </c>
      <c r="R43" s="165">
        <f t="shared" si="21"/>
        <v>6.2874828752533269E-3</v>
      </c>
      <c r="S43" s="164">
        <v>13496</v>
      </c>
      <c r="T43" s="164">
        <v>27794</v>
      </c>
      <c r="U43" s="164">
        <v>33414</v>
      </c>
      <c r="V43" s="164">
        <v>31460</v>
      </c>
      <c r="W43" s="164">
        <v>34569</v>
      </c>
      <c r="X43" s="165">
        <f t="shared" si="22"/>
        <v>9.8823903369357868E-2</v>
      </c>
      <c r="Y43" s="179">
        <f t="shared" si="10"/>
        <v>1.5614256075874331</v>
      </c>
      <c r="Z43" s="165">
        <f t="shared" si="17"/>
        <v>8.1719519162290546E-3</v>
      </c>
    </row>
    <row r="44" spans="1:26" x14ac:dyDescent="0.25">
      <c r="A44" s="162" t="s">
        <v>121</v>
      </c>
      <c r="B44" s="163" t="s">
        <v>121</v>
      </c>
      <c r="C44" s="164">
        <v>1781</v>
      </c>
      <c r="D44" s="164">
        <v>5675</v>
      </c>
      <c r="E44" s="164">
        <v>7845</v>
      </c>
      <c r="F44" s="164">
        <v>8232</v>
      </c>
      <c r="G44" s="164">
        <v>8794</v>
      </c>
      <c r="H44" s="165">
        <f t="shared" si="18"/>
        <v>6.8270165208940803E-2</v>
      </c>
      <c r="I44" s="179">
        <f t="shared" si="1"/>
        <v>3.9376754632229085</v>
      </c>
      <c r="J44" s="165">
        <f t="shared" si="19"/>
        <v>1.1569347675079462E-2</v>
      </c>
      <c r="K44" s="164">
        <v>8252</v>
      </c>
      <c r="L44" s="164">
        <v>12032</v>
      </c>
      <c r="M44" s="164">
        <v>11886</v>
      </c>
      <c r="N44" s="164">
        <v>11380</v>
      </c>
      <c r="O44" s="164">
        <v>13384</v>
      </c>
      <c r="P44" s="165">
        <f t="shared" si="20"/>
        <v>0.17609841827768014</v>
      </c>
      <c r="Q44" s="179">
        <f t="shared" si="9"/>
        <v>0.62190984003877858</v>
      </c>
      <c r="R44" s="165">
        <f t="shared" si="21"/>
        <v>3.8921266732524179E-3</v>
      </c>
      <c r="S44" s="164">
        <v>10033</v>
      </c>
      <c r="T44" s="164">
        <v>17707</v>
      </c>
      <c r="U44" s="164">
        <v>19731</v>
      </c>
      <c r="V44" s="164">
        <v>19612</v>
      </c>
      <c r="W44" s="164">
        <v>22178</v>
      </c>
      <c r="X44" s="165">
        <f t="shared" si="22"/>
        <v>0.13083826228839479</v>
      </c>
      <c r="Y44" s="179">
        <f t="shared" si="10"/>
        <v>1.2105053324030699</v>
      </c>
      <c r="Z44" s="165">
        <f t="shared" si="17"/>
        <v>4.8255456772345572E-3</v>
      </c>
    </row>
    <row r="45" spans="1:26" x14ac:dyDescent="0.25">
      <c r="A45" s="162" t="s">
        <v>128</v>
      </c>
      <c r="B45" s="163" t="s">
        <v>128</v>
      </c>
      <c r="C45" s="164">
        <v>1430</v>
      </c>
      <c r="D45" s="164">
        <v>3236</v>
      </c>
      <c r="E45" s="164">
        <v>3478</v>
      </c>
      <c r="F45" s="164">
        <v>3809</v>
      </c>
      <c r="G45" s="164">
        <v>3286</v>
      </c>
      <c r="H45" s="165">
        <f t="shared" si="18"/>
        <v>-0.13730637962719872</v>
      </c>
      <c r="I45" s="179">
        <f t="shared" si="1"/>
        <v>1.2979020979020981</v>
      </c>
      <c r="J45" s="165">
        <f t="shared" si="19"/>
        <v>4.3230471298966464E-3</v>
      </c>
      <c r="K45" s="164">
        <v>13570</v>
      </c>
      <c r="L45" s="164">
        <v>27358</v>
      </c>
      <c r="M45" s="164">
        <v>26160</v>
      </c>
      <c r="N45" s="164">
        <v>28369</v>
      </c>
      <c r="O45" s="164">
        <v>25403</v>
      </c>
      <c r="P45" s="165">
        <f t="shared" si="20"/>
        <v>-0.10455074200712045</v>
      </c>
      <c r="Q45" s="179">
        <f t="shared" si="9"/>
        <v>0.87199705232129698</v>
      </c>
      <c r="R45" s="165">
        <f t="shared" si="21"/>
        <v>7.3873052809796157E-3</v>
      </c>
      <c r="S45" s="164">
        <v>15000</v>
      </c>
      <c r="T45" s="164">
        <v>30594</v>
      </c>
      <c r="U45" s="164">
        <v>29638</v>
      </c>
      <c r="V45" s="164">
        <v>32178</v>
      </c>
      <c r="W45" s="164">
        <v>28689</v>
      </c>
      <c r="X45" s="165">
        <f t="shared" si="22"/>
        <v>-0.10842811859034118</v>
      </c>
      <c r="Y45" s="179">
        <f t="shared" si="10"/>
        <v>0.91260000000000008</v>
      </c>
      <c r="Z45" s="165">
        <f t="shared" si="17"/>
        <v>7.2484680341532515E-3</v>
      </c>
    </row>
    <row r="46" spans="1:26" x14ac:dyDescent="0.25">
      <c r="A46" s="162" t="s">
        <v>124</v>
      </c>
      <c r="B46" s="163" t="s">
        <v>124</v>
      </c>
      <c r="C46" s="164">
        <v>722</v>
      </c>
      <c r="D46" s="164">
        <v>1778</v>
      </c>
      <c r="E46" s="164">
        <v>2265</v>
      </c>
      <c r="F46" s="164">
        <v>2413</v>
      </c>
      <c r="G46" s="164">
        <v>3459</v>
      </c>
      <c r="H46" s="165">
        <f t="shared" si="18"/>
        <v>0.43348528802320763</v>
      </c>
      <c r="I46" s="179">
        <f t="shared" si="1"/>
        <v>3.7908587257617725</v>
      </c>
      <c r="J46" s="165">
        <f t="shared" si="19"/>
        <v>4.5506451680804938E-3</v>
      </c>
      <c r="K46" s="164">
        <v>16968</v>
      </c>
      <c r="L46" s="164">
        <v>29000</v>
      </c>
      <c r="M46" s="164">
        <v>33231</v>
      </c>
      <c r="N46" s="164">
        <v>33087</v>
      </c>
      <c r="O46" s="164">
        <v>29103</v>
      </c>
      <c r="P46" s="165">
        <f t="shared" si="20"/>
        <v>-0.12040982863360228</v>
      </c>
      <c r="Q46" s="179">
        <f t="shared" si="9"/>
        <v>0.71516973125884009</v>
      </c>
      <c r="R46" s="165">
        <f t="shared" si="21"/>
        <v>8.4632817223300304E-3</v>
      </c>
      <c r="S46" s="164">
        <v>17690</v>
      </c>
      <c r="T46" s="164">
        <v>30778</v>
      </c>
      <c r="U46" s="164">
        <v>35496</v>
      </c>
      <c r="V46" s="164">
        <v>35500</v>
      </c>
      <c r="W46" s="164">
        <v>32562</v>
      </c>
      <c r="X46" s="165">
        <f t="shared" si="22"/>
        <v>-8.2760563380281704E-2</v>
      </c>
      <c r="Y46" s="179">
        <f t="shared" si="10"/>
        <v>0.84070096099491232</v>
      </c>
      <c r="Z46" s="165">
        <f t="shared" si="17"/>
        <v>8.681139798242251E-3</v>
      </c>
    </row>
    <row r="47" spans="1:26" x14ac:dyDescent="0.25">
      <c r="A47" s="162" t="s">
        <v>133</v>
      </c>
      <c r="B47" s="163" t="s">
        <v>133</v>
      </c>
      <c r="C47" s="164">
        <v>749</v>
      </c>
      <c r="D47" s="164">
        <v>2218</v>
      </c>
      <c r="E47" s="164">
        <v>2217</v>
      </c>
      <c r="F47" s="164">
        <v>1673</v>
      </c>
      <c r="G47" s="164">
        <v>1722</v>
      </c>
      <c r="H47" s="165">
        <f t="shared" si="18"/>
        <v>2.9288702928870203E-2</v>
      </c>
      <c r="I47" s="179">
        <f t="shared" si="1"/>
        <v>1.2990654205607477</v>
      </c>
      <c r="J47" s="165">
        <f t="shared" si="19"/>
        <v>2.2654556170669587E-3</v>
      </c>
      <c r="K47" s="164">
        <v>2639</v>
      </c>
      <c r="L47" s="164">
        <v>6605</v>
      </c>
      <c r="M47" s="164">
        <v>7002</v>
      </c>
      <c r="N47" s="164">
        <v>6960</v>
      </c>
      <c r="O47" s="164">
        <v>8257</v>
      </c>
      <c r="P47" s="165">
        <f t="shared" si="20"/>
        <v>0.18635057471264371</v>
      </c>
      <c r="Q47" s="179">
        <f t="shared" si="9"/>
        <v>2.1288366805608185</v>
      </c>
      <c r="R47" s="165">
        <f t="shared" si="21"/>
        <v>2.4011722908730735E-3</v>
      </c>
      <c r="S47" s="164">
        <v>3388</v>
      </c>
      <c r="T47" s="164">
        <v>8823</v>
      </c>
      <c r="U47" s="164">
        <v>9219</v>
      </c>
      <c r="V47" s="164">
        <v>8633</v>
      </c>
      <c r="W47" s="164">
        <v>9979</v>
      </c>
      <c r="X47" s="165">
        <f t="shared" si="22"/>
        <v>0.15591335572802034</v>
      </c>
      <c r="Y47" s="179">
        <f t="shared" si="10"/>
        <v>1.9453955135773318</v>
      </c>
      <c r="Z47" s="165">
        <f t="shared" si="17"/>
        <v>2.2546604631506454E-3</v>
      </c>
    </row>
    <row r="48" spans="1:26" x14ac:dyDescent="0.25">
      <c r="A48" s="162" t="s">
        <v>136</v>
      </c>
      <c r="B48" s="163" t="s">
        <v>136</v>
      </c>
      <c r="C48" s="164">
        <v>761</v>
      </c>
      <c r="D48" s="164">
        <v>1311</v>
      </c>
      <c r="E48" s="164">
        <v>1982</v>
      </c>
      <c r="F48" s="164">
        <v>1393</v>
      </c>
      <c r="G48" s="164">
        <v>1019</v>
      </c>
      <c r="H48" s="165">
        <f t="shared" si="18"/>
        <v>-0.26848528356066048</v>
      </c>
      <c r="I48" s="179">
        <f t="shared" si="1"/>
        <v>0.33902759526938242</v>
      </c>
      <c r="J48" s="165">
        <f t="shared" si="19"/>
        <v>1.3405919127707495E-3</v>
      </c>
      <c r="K48" s="164">
        <v>3019</v>
      </c>
      <c r="L48" s="164">
        <v>6804</v>
      </c>
      <c r="M48" s="164">
        <v>8431</v>
      </c>
      <c r="N48" s="164">
        <v>7038</v>
      </c>
      <c r="O48" s="164">
        <v>6780</v>
      </c>
      <c r="P48" s="165">
        <f t="shared" si="20"/>
        <v>-3.6658141517476595E-2</v>
      </c>
      <c r="Q48" s="179">
        <f t="shared" si="9"/>
        <v>1.2457767472673069</v>
      </c>
      <c r="R48" s="165">
        <f t="shared" si="21"/>
        <v>1.9716541276637322E-3</v>
      </c>
      <c r="S48" s="164">
        <v>3780</v>
      </c>
      <c r="T48" s="164">
        <v>8115</v>
      </c>
      <c r="U48" s="164">
        <v>10413</v>
      </c>
      <c r="V48" s="164">
        <v>8431</v>
      </c>
      <c r="W48" s="164">
        <v>7799</v>
      </c>
      <c r="X48" s="165">
        <f t="shared" si="22"/>
        <v>-7.4961451785078848E-2</v>
      </c>
      <c r="Y48" s="179">
        <f t="shared" si="10"/>
        <v>1.0632275132275133</v>
      </c>
      <c r="Z48" s="165">
        <f t="shared" si="17"/>
        <v>2.5466731101841489E-3</v>
      </c>
    </row>
    <row r="49" spans="1:26" x14ac:dyDescent="0.25">
      <c r="A49" s="167" t="s">
        <v>150</v>
      </c>
      <c r="B49" s="168" t="s">
        <v>150</v>
      </c>
      <c r="C49" s="169">
        <f>C41-SUM(C42:C48)</f>
        <v>19568</v>
      </c>
      <c r="D49" s="169">
        <f>D41-SUM(D42:D48)</f>
        <v>59733</v>
      </c>
      <c r="E49" s="169">
        <f>E41-SUM(E42:E48)</f>
        <v>69491</v>
      </c>
      <c r="F49" s="169">
        <f>F41-SUM(F42:F48)</f>
        <v>74074</v>
      </c>
      <c r="G49" s="169">
        <f>G41-SUM(G42:G48)</f>
        <v>72619</v>
      </c>
      <c r="H49" s="170">
        <f t="shared" si="18"/>
        <v>-1.9642519642519618E-2</v>
      </c>
      <c r="I49" s="180">
        <f t="shared" si="1"/>
        <v>2.7111099754701553</v>
      </c>
      <c r="J49" s="170">
        <f t="shared" si="19"/>
        <v>9.5537236617761589E-2</v>
      </c>
      <c r="K49" s="169">
        <f>K41-SUM(K42:K48)</f>
        <v>53170</v>
      </c>
      <c r="L49" s="169">
        <f>L41-SUM(L42:L48)</f>
        <v>141662</v>
      </c>
      <c r="M49" s="169">
        <f>M41-SUM(M42:M48)</f>
        <v>147551</v>
      </c>
      <c r="N49" s="169">
        <f>N41-SUM(N42:N48)</f>
        <v>157712</v>
      </c>
      <c r="O49" s="169">
        <f>O41-SUM(O42:O48)</f>
        <v>180009</v>
      </c>
      <c r="P49" s="170">
        <f t="shared" si="20"/>
        <v>0.14137795475296744</v>
      </c>
      <c r="Q49" s="180">
        <f t="shared" si="9"/>
        <v>2.3855369569305998</v>
      </c>
      <c r="R49" s="170">
        <f t="shared" si="21"/>
        <v>5.2347417089472097E-2</v>
      </c>
      <c r="S49" s="169">
        <f>S41-SUM(S42:S48)</f>
        <v>72738</v>
      </c>
      <c r="T49" s="169">
        <f>T41-SUM(T42:T48)</f>
        <v>201395</v>
      </c>
      <c r="U49" s="169">
        <f>U41-SUM(U42:U48)</f>
        <v>217042</v>
      </c>
      <c r="V49" s="169">
        <f>V41-SUM(V42:V48)</f>
        <v>231786</v>
      </c>
      <c r="W49" s="169">
        <f>W41-SUM(W42:W48)</f>
        <v>252628</v>
      </c>
      <c r="X49" s="170">
        <f t="shared" si="22"/>
        <v>8.9919149560370393E-2</v>
      </c>
      <c r="Y49" s="180">
        <f t="shared" si="10"/>
        <v>2.4731227143996262</v>
      </c>
      <c r="Z49" s="170">
        <f t="shared" si="17"/>
        <v>5.3081247016286186E-2</v>
      </c>
    </row>
    <row r="50" spans="1:26" x14ac:dyDescent="0.25">
      <c r="A50" s="1"/>
      <c r="B50" s="155" t="s">
        <v>48</v>
      </c>
      <c r="C50" s="153"/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3"/>
      <c r="O50" s="153"/>
      <c r="P50" s="153"/>
      <c r="Q50" s="153"/>
      <c r="R50" s="153"/>
      <c r="S50" s="153"/>
      <c r="T50" s="153"/>
      <c r="U50" s="153"/>
      <c r="V50" s="153"/>
      <c r="W50" s="153"/>
      <c r="X50" s="153"/>
      <c r="Y50" s="153"/>
      <c r="Z50" s="153"/>
    </row>
    <row r="51" spans="1:26" x14ac:dyDescent="0.25">
      <c r="A51" s="1" t="s">
        <v>0</v>
      </c>
      <c r="B51" s="156" t="s">
        <v>73</v>
      </c>
      <c r="C51" s="176">
        <f>C52+C55</f>
        <v>0</v>
      </c>
      <c r="D51" s="176">
        <f>D52+D55</f>
        <v>0</v>
      </c>
      <c r="E51" s="176">
        <f>E52+E55</f>
        <v>0</v>
      </c>
      <c r="F51" s="176">
        <f>F52+F55</f>
        <v>0</v>
      </c>
      <c r="G51" s="176">
        <f>G52+G55</f>
        <v>0</v>
      </c>
      <c r="H51" s="177" t="str">
        <f>IFERROR(G51/F51-1,"-")</f>
        <v>-</v>
      </c>
      <c r="I51" s="177" t="str">
        <f t="shared" si="1"/>
        <v>-</v>
      </c>
      <c r="J51" s="177">
        <f>G51/G$9</f>
        <v>0</v>
      </c>
      <c r="K51" s="176">
        <f>K52+K55</f>
        <v>0</v>
      </c>
      <c r="L51" s="176">
        <f>L52+L55</f>
        <v>0</v>
      </c>
      <c r="M51" s="176">
        <f>M52+M55</f>
        <v>0</v>
      </c>
      <c r="N51" s="176">
        <f>N52+N55</f>
        <v>0</v>
      </c>
      <c r="O51" s="176">
        <f>O52+O55</f>
        <v>0</v>
      </c>
      <c r="P51" s="177" t="str">
        <f>IFERROR(O51/N51-1,"-")</f>
        <v>-</v>
      </c>
      <c r="Q51" s="177" t="str">
        <f t="shared" si="9"/>
        <v>-</v>
      </c>
      <c r="R51" s="177">
        <f>O51/O$9</f>
        <v>0</v>
      </c>
      <c r="S51" s="176">
        <f>S52+S55</f>
        <v>20161</v>
      </c>
      <c r="T51" s="176">
        <f>T52+T55</f>
        <v>37638</v>
      </c>
      <c r="U51" s="176">
        <f>U52+U55</f>
        <v>50566</v>
      </c>
      <c r="V51" s="176">
        <f>V52+V55</f>
        <v>44389</v>
      </c>
      <c r="W51" s="176">
        <f>W52+W55</f>
        <v>43817</v>
      </c>
      <c r="X51" s="177">
        <f>IFERROR(W51/V51-1,"-")</f>
        <v>-1.28860753790353E-2</v>
      </c>
      <c r="Y51" s="177">
        <f t="shared" si="10"/>
        <v>1.1733544963047469</v>
      </c>
      <c r="Z51" s="177">
        <f t="shared" ref="Z51:Z63" si="23">U51/U$9</f>
        <v>1.2366760058539487E-2</v>
      </c>
    </row>
    <row r="52" spans="1:26" x14ac:dyDescent="0.25">
      <c r="A52" s="1" t="s">
        <v>101</v>
      </c>
      <c r="B52" s="159" t="s">
        <v>102</v>
      </c>
      <c r="C52" s="160">
        <v>0</v>
      </c>
      <c r="D52" s="160">
        <v>0</v>
      </c>
      <c r="E52" s="160">
        <v>0</v>
      </c>
      <c r="F52" s="160">
        <v>0</v>
      </c>
      <c r="G52" s="160">
        <v>0</v>
      </c>
      <c r="H52" s="161" t="str">
        <f>IFERROR(G52/F52-1,"-")</f>
        <v>-</v>
      </c>
      <c r="I52" s="178" t="str">
        <f t="shared" si="1"/>
        <v>-</v>
      </c>
      <c r="J52" s="161">
        <f>G52/G$9</f>
        <v>0</v>
      </c>
      <c r="K52" s="160">
        <v>0</v>
      </c>
      <c r="L52" s="160">
        <v>0</v>
      </c>
      <c r="M52" s="160">
        <v>0</v>
      </c>
      <c r="N52" s="160">
        <v>0</v>
      </c>
      <c r="O52" s="160">
        <v>0</v>
      </c>
      <c r="P52" s="161" t="str">
        <f>IFERROR(O52/N52-1,"-")</f>
        <v>-</v>
      </c>
      <c r="Q52" s="178" t="str">
        <f t="shared" si="9"/>
        <v>-</v>
      </c>
      <c r="R52" s="161">
        <f>O52/O$9</f>
        <v>0</v>
      </c>
      <c r="S52" s="160">
        <v>4950</v>
      </c>
      <c r="T52" s="160">
        <v>6738</v>
      </c>
      <c r="U52" s="160">
        <v>20123</v>
      </c>
      <c r="V52" s="160">
        <v>11822</v>
      </c>
      <c r="W52" s="160">
        <v>9889</v>
      </c>
      <c r="X52" s="161">
        <f>IFERROR(W52/V52-1,"-")</f>
        <v>-0.16350871256978516</v>
      </c>
      <c r="Y52" s="178">
        <f t="shared" si="10"/>
        <v>0.99777777777777787</v>
      </c>
      <c r="Z52" s="161">
        <f t="shared" si="23"/>
        <v>4.9214158260093756E-3</v>
      </c>
    </row>
    <row r="53" spans="1:26" x14ac:dyDescent="0.25">
      <c r="A53" s="162" t="s">
        <v>108</v>
      </c>
      <c r="B53" s="163" t="s">
        <v>108</v>
      </c>
      <c r="C53" s="164">
        <v>0</v>
      </c>
      <c r="D53" s="164">
        <v>0</v>
      </c>
      <c r="E53" s="164">
        <v>0</v>
      </c>
      <c r="F53" s="164">
        <v>0</v>
      </c>
      <c r="G53" s="164">
        <v>0</v>
      </c>
      <c r="H53" s="165" t="str">
        <f>IFERROR(G53/F53-1,"-")</f>
        <v>-</v>
      </c>
      <c r="I53" s="179" t="str">
        <f t="shared" si="1"/>
        <v>-</v>
      </c>
      <c r="J53" s="165">
        <f>G53/G$9</f>
        <v>0</v>
      </c>
      <c r="K53" s="164">
        <v>0</v>
      </c>
      <c r="L53" s="164">
        <v>0</v>
      </c>
      <c r="M53" s="164">
        <v>0</v>
      </c>
      <c r="N53" s="164">
        <v>0</v>
      </c>
      <c r="O53" s="164">
        <v>0</v>
      </c>
      <c r="P53" s="165" t="str">
        <f>IFERROR(O53/N53-1,"-")</f>
        <v>-</v>
      </c>
      <c r="Q53" s="179" t="str">
        <f t="shared" si="9"/>
        <v>-</v>
      </c>
      <c r="R53" s="165">
        <f>O53/O$9</f>
        <v>0</v>
      </c>
      <c r="S53" s="164">
        <v>2415</v>
      </c>
      <c r="T53" s="164">
        <v>3508</v>
      </c>
      <c r="U53" s="164">
        <v>14745</v>
      </c>
      <c r="V53" s="164">
        <v>7661</v>
      </c>
      <c r="W53" s="164">
        <v>5821</v>
      </c>
      <c r="X53" s="165">
        <f>IFERROR(W53/V53-1,"-")</f>
        <v>-0.24017752251664271</v>
      </c>
      <c r="Y53" s="179">
        <f t="shared" si="10"/>
        <v>1.4103519668737059</v>
      </c>
      <c r="Z53" s="165">
        <f t="shared" si="23"/>
        <v>3.6061360808283182E-3</v>
      </c>
    </row>
    <row r="54" spans="1:26" x14ac:dyDescent="0.25">
      <c r="A54" s="162" t="s">
        <v>105</v>
      </c>
      <c r="B54" s="163" t="s">
        <v>105</v>
      </c>
      <c r="C54" s="164">
        <v>0</v>
      </c>
      <c r="D54" s="164">
        <v>0</v>
      </c>
      <c r="E54" s="164">
        <v>0</v>
      </c>
      <c r="F54" s="164">
        <v>0</v>
      </c>
      <c r="G54" s="164">
        <v>0</v>
      </c>
      <c r="H54" s="165" t="str">
        <f>IFERROR(G54/F54-1,"-")</f>
        <v>-</v>
      </c>
      <c r="I54" s="179" t="str">
        <f t="shared" si="1"/>
        <v>-</v>
      </c>
      <c r="J54" s="165">
        <f>G54/G$9</f>
        <v>0</v>
      </c>
      <c r="K54" s="164">
        <v>0</v>
      </c>
      <c r="L54" s="164">
        <v>0</v>
      </c>
      <c r="M54" s="164">
        <v>0</v>
      </c>
      <c r="N54" s="164">
        <v>0</v>
      </c>
      <c r="O54" s="164">
        <v>0</v>
      </c>
      <c r="P54" s="165" t="str">
        <f>IFERROR(O54/N54-1,"-")</f>
        <v>-</v>
      </c>
      <c r="Q54" s="179" t="str">
        <f t="shared" si="9"/>
        <v>-</v>
      </c>
      <c r="R54" s="165">
        <f>O54/O$9</f>
        <v>0</v>
      </c>
      <c r="S54" s="164">
        <v>2535</v>
      </c>
      <c r="T54" s="164">
        <v>3230</v>
      </c>
      <c r="U54" s="164">
        <v>5378</v>
      </c>
      <c r="V54" s="164">
        <v>4161</v>
      </c>
      <c r="W54" s="164">
        <v>4068</v>
      </c>
      <c r="X54" s="165">
        <f>IFERROR(W54/V54-1,"-")</f>
        <v>-2.2350396539293493E-2</v>
      </c>
      <c r="Y54" s="179">
        <f t="shared" si="10"/>
        <v>0.60473372781065082</v>
      </c>
      <c r="Z54" s="165">
        <f t="shared" si="23"/>
        <v>1.3152797451810576E-3</v>
      </c>
    </row>
    <row r="55" spans="1:26" x14ac:dyDescent="0.25">
      <c r="A55" s="1" t="s">
        <v>151</v>
      </c>
      <c r="B55" s="159" t="s">
        <v>112</v>
      </c>
      <c r="C55" s="160">
        <v>0</v>
      </c>
      <c r="D55" s="160">
        <v>0</v>
      </c>
      <c r="E55" s="160">
        <v>0</v>
      </c>
      <c r="F55" s="160">
        <v>0</v>
      </c>
      <c r="G55" s="160">
        <v>0</v>
      </c>
      <c r="H55" s="161" t="str">
        <f>IFERROR(G55/F55-1,"-")</f>
        <v>-</v>
      </c>
      <c r="I55" s="178" t="str">
        <f t="shared" si="1"/>
        <v>-</v>
      </c>
      <c r="J55" s="161">
        <f>G55/G$9</f>
        <v>0</v>
      </c>
      <c r="K55" s="160">
        <v>0</v>
      </c>
      <c r="L55" s="160">
        <v>0</v>
      </c>
      <c r="M55" s="160">
        <v>0</v>
      </c>
      <c r="N55" s="160">
        <v>0</v>
      </c>
      <c r="O55" s="160">
        <v>0</v>
      </c>
      <c r="P55" s="161" t="str">
        <f>IFERROR(O55/N55-1,"-")</f>
        <v>-</v>
      </c>
      <c r="Q55" s="178" t="str">
        <f t="shared" si="9"/>
        <v>-</v>
      </c>
      <c r="R55" s="161">
        <f>O55/O$9</f>
        <v>0</v>
      </c>
      <c r="S55" s="160">
        <v>15211</v>
      </c>
      <c r="T55" s="160">
        <v>30900</v>
      </c>
      <c r="U55" s="160">
        <v>30443</v>
      </c>
      <c r="V55" s="160">
        <v>32567</v>
      </c>
      <c r="W55" s="160">
        <v>33928</v>
      </c>
      <c r="X55" s="161">
        <f>IFERROR(W55/V55-1,"-")</f>
        <v>4.1790769797647842E-2</v>
      </c>
      <c r="Y55" s="178">
        <f t="shared" si="10"/>
        <v>1.2304910919729144</v>
      </c>
      <c r="Z55" s="161">
        <f t="shared" si="23"/>
        <v>7.4453442325301111E-3</v>
      </c>
    </row>
    <row r="56" spans="1:26" x14ac:dyDescent="0.25">
      <c r="A56" s="162" t="s">
        <v>115</v>
      </c>
      <c r="B56" s="163" t="s">
        <v>115</v>
      </c>
      <c r="C56" s="164">
        <v>0</v>
      </c>
      <c r="D56" s="164">
        <v>0</v>
      </c>
      <c r="E56" s="164">
        <v>0</v>
      </c>
      <c r="F56" s="164">
        <v>0</v>
      </c>
      <c r="G56" s="164">
        <v>0</v>
      </c>
      <c r="H56" s="165" t="str">
        <f t="shared" ref="H56:H63" si="24">IFERROR(G56/F56-1,"-")</f>
        <v>-</v>
      </c>
      <c r="I56" s="179" t="str">
        <f t="shared" si="1"/>
        <v>-</v>
      </c>
      <c r="J56" s="165">
        <f t="shared" ref="J56:J63" si="25">G56/G$9</f>
        <v>0</v>
      </c>
      <c r="K56" s="164">
        <v>0</v>
      </c>
      <c r="L56" s="164">
        <v>0</v>
      </c>
      <c r="M56" s="164">
        <v>0</v>
      </c>
      <c r="N56" s="164">
        <v>0</v>
      </c>
      <c r="O56" s="164">
        <v>0</v>
      </c>
      <c r="P56" s="165" t="str">
        <f t="shared" ref="P56:P63" si="26">IFERROR(O56/N56-1,"-")</f>
        <v>-</v>
      </c>
      <c r="Q56" s="179" t="str">
        <f t="shared" si="9"/>
        <v>-</v>
      </c>
      <c r="R56" s="165">
        <f t="shared" ref="R56:R63" si="27">O56/O$9</f>
        <v>0</v>
      </c>
      <c r="S56" s="164">
        <v>3030</v>
      </c>
      <c r="T56" s="164">
        <v>10329</v>
      </c>
      <c r="U56" s="164">
        <v>9247</v>
      </c>
      <c r="V56" s="164">
        <v>10964</v>
      </c>
      <c r="W56" s="164">
        <v>11677</v>
      </c>
      <c r="X56" s="165">
        <f t="shared" ref="X56:X63" si="28">IFERROR(W56/V56-1,"-")</f>
        <v>6.5031010580080206E-2</v>
      </c>
      <c r="Y56" s="179">
        <f t="shared" si="10"/>
        <v>2.8537953795379538</v>
      </c>
      <c r="Z56" s="165">
        <f t="shared" si="23"/>
        <v>2.2615083309202753E-3</v>
      </c>
    </row>
    <row r="57" spans="1:26" x14ac:dyDescent="0.25">
      <c r="A57" s="162" t="s">
        <v>118</v>
      </c>
      <c r="B57" s="163" t="s">
        <v>118</v>
      </c>
      <c r="C57" s="164">
        <v>0</v>
      </c>
      <c r="D57" s="164">
        <v>0</v>
      </c>
      <c r="E57" s="164">
        <v>0</v>
      </c>
      <c r="F57" s="164">
        <v>0</v>
      </c>
      <c r="G57" s="164">
        <v>0</v>
      </c>
      <c r="H57" s="165" t="str">
        <f t="shared" si="24"/>
        <v>-</v>
      </c>
      <c r="I57" s="179" t="str">
        <f t="shared" si="1"/>
        <v>-</v>
      </c>
      <c r="J57" s="165">
        <f t="shared" si="25"/>
        <v>0</v>
      </c>
      <c r="K57" s="164">
        <v>0</v>
      </c>
      <c r="L57" s="164">
        <v>0</v>
      </c>
      <c r="M57" s="164">
        <v>0</v>
      </c>
      <c r="N57" s="164">
        <v>0</v>
      </c>
      <c r="O57" s="164">
        <v>0</v>
      </c>
      <c r="P57" s="165" t="str">
        <f t="shared" si="26"/>
        <v>-</v>
      </c>
      <c r="Q57" s="179" t="str">
        <f t="shared" si="9"/>
        <v>-</v>
      </c>
      <c r="R57" s="165">
        <f t="shared" si="27"/>
        <v>0</v>
      </c>
      <c r="S57" s="164">
        <v>5150</v>
      </c>
      <c r="T57" s="164">
        <v>6783</v>
      </c>
      <c r="U57" s="164">
        <v>6068</v>
      </c>
      <c r="V57" s="164">
        <v>6166</v>
      </c>
      <c r="W57" s="164">
        <v>6797</v>
      </c>
      <c r="X57" s="165">
        <f t="shared" si="28"/>
        <v>0.10233538760947125</v>
      </c>
      <c r="Y57" s="179">
        <f t="shared" si="10"/>
        <v>0.3198058252427185</v>
      </c>
      <c r="Z57" s="165">
        <f t="shared" si="23"/>
        <v>1.4840307723612231E-3</v>
      </c>
    </row>
    <row r="58" spans="1:26" x14ac:dyDescent="0.25">
      <c r="A58" s="162" t="s">
        <v>121</v>
      </c>
      <c r="B58" s="163" t="s">
        <v>121</v>
      </c>
      <c r="C58" s="164">
        <v>0</v>
      </c>
      <c r="D58" s="164">
        <v>0</v>
      </c>
      <c r="E58" s="164">
        <v>0</v>
      </c>
      <c r="F58" s="164">
        <v>0</v>
      </c>
      <c r="G58" s="164">
        <v>0</v>
      </c>
      <c r="H58" s="165" t="str">
        <f t="shared" si="24"/>
        <v>-</v>
      </c>
      <c r="I58" s="179" t="str">
        <f t="shared" si="1"/>
        <v>-</v>
      </c>
      <c r="J58" s="165">
        <f t="shared" si="25"/>
        <v>0</v>
      </c>
      <c r="K58" s="164">
        <v>0</v>
      </c>
      <c r="L58" s="164">
        <v>0</v>
      </c>
      <c r="M58" s="164">
        <v>0</v>
      </c>
      <c r="N58" s="164">
        <v>0</v>
      </c>
      <c r="O58" s="164">
        <v>0</v>
      </c>
      <c r="P58" s="165" t="str">
        <f t="shared" si="26"/>
        <v>-</v>
      </c>
      <c r="Q58" s="179" t="str">
        <f t="shared" si="9"/>
        <v>-</v>
      </c>
      <c r="R58" s="165">
        <f t="shared" si="27"/>
        <v>0</v>
      </c>
      <c r="S58" s="164">
        <v>1642</v>
      </c>
      <c r="T58" s="164">
        <v>2739</v>
      </c>
      <c r="U58" s="164">
        <v>2907</v>
      </c>
      <c r="V58" s="164">
        <v>2482</v>
      </c>
      <c r="W58" s="164">
        <v>2768</v>
      </c>
      <c r="X58" s="165">
        <f t="shared" si="28"/>
        <v>0.11522965350523773</v>
      </c>
      <c r="Y58" s="179">
        <f t="shared" si="10"/>
        <v>0.68574908647990251</v>
      </c>
      <c r="Z58" s="165">
        <f t="shared" si="23"/>
        <v>7.1095541451121874E-4</v>
      </c>
    </row>
    <row r="59" spans="1:26" x14ac:dyDescent="0.25">
      <c r="A59" s="162" t="s">
        <v>128</v>
      </c>
      <c r="B59" s="163" t="s">
        <v>128</v>
      </c>
      <c r="C59" s="164">
        <v>0</v>
      </c>
      <c r="D59" s="164">
        <v>0</v>
      </c>
      <c r="E59" s="164">
        <v>0</v>
      </c>
      <c r="F59" s="164">
        <v>0</v>
      </c>
      <c r="G59" s="164">
        <v>0</v>
      </c>
      <c r="H59" s="165" t="str">
        <f t="shared" si="24"/>
        <v>-</v>
      </c>
      <c r="I59" s="179" t="str">
        <f t="shared" si="1"/>
        <v>-</v>
      </c>
      <c r="J59" s="165">
        <f t="shared" si="25"/>
        <v>0</v>
      </c>
      <c r="K59" s="164">
        <v>0</v>
      </c>
      <c r="L59" s="164">
        <v>0</v>
      </c>
      <c r="M59" s="164">
        <v>0</v>
      </c>
      <c r="N59" s="164">
        <v>0</v>
      </c>
      <c r="O59" s="164">
        <v>0</v>
      </c>
      <c r="P59" s="165" t="str">
        <f t="shared" si="26"/>
        <v>-</v>
      </c>
      <c r="Q59" s="179" t="str">
        <f t="shared" si="9"/>
        <v>-</v>
      </c>
      <c r="R59" s="165">
        <f t="shared" si="27"/>
        <v>0</v>
      </c>
      <c r="S59" s="164">
        <v>377</v>
      </c>
      <c r="T59" s="164">
        <v>866</v>
      </c>
      <c r="U59" s="164">
        <v>806</v>
      </c>
      <c r="V59" s="164">
        <v>1053</v>
      </c>
      <c r="W59" s="164">
        <v>1113</v>
      </c>
      <c r="X59" s="165">
        <f t="shared" si="28"/>
        <v>5.6980056980056926E-2</v>
      </c>
      <c r="Y59" s="179">
        <f t="shared" si="10"/>
        <v>1.9522546419098141</v>
      </c>
      <c r="Z59" s="165">
        <f t="shared" si="23"/>
        <v>1.971207650829179E-4</v>
      </c>
    </row>
    <row r="60" spans="1:26" x14ac:dyDescent="0.25">
      <c r="A60" s="162" t="s">
        <v>124</v>
      </c>
      <c r="B60" s="163" t="s">
        <v>124</v>
      </c>
      <c r="C60" s="164">
        <v>0</v>
      </c>
      <c r="D60" s="164">
        <v>0</v>
      </c>
      <c r="E60" s="164">
        <v>0</v>
      </c>
      <c r="F60" s="164">
        <v>0</v>
      </c>
      <c r="G60" s="164">
        <v>0</v>
      </c>
      <c r="H60" s="165" t="str">
        <f t="shared" si="24"/>
        <v>-</v>
      </c>
      <c r="I60" s="179" t="str">
        <f t="shared" si="1"/>
        <v>-</v>
      </c>
      <c r="J60" s="165">
        <f t="shared" si="25"/>
        <v>0</v>
      </c>
      <c r="K60" s="164">
        <v>0</v>
      </c>
      <c r="L60" s="164">
        <v>0</v>
      </c>
      <c r="M60" s="164">
        <v>0</v>
      </c>
      <c r="N60" s="164">
        <v>0</v>
      </c>
      <c r="O60" s="164">
        <v>0</v>
      </c>
      <c r="P60" s="165" t="str">
        <f t="shared" si="26"/>
        <v>-</v>
      </c>
      <c r="Q60" s="179" t="str">
        <f t="shared" si="9"/>
        <v>-</v>
      </c>
      <c r="R60" s="165">
        <f t="shared" si="27"/>
        <v>0</v>
      </c>
      <c r="S60" s="164">
        <v>476</v>
      </c>
      <c r="T60" s="164">
        <v>649</v>
      </c>
      <c r="U60" s="164">
        <v>683</v>
      </c>
      <c r="V60" s="164">
        <v>736</v>
      </c>
      <c r="W60" s="164">
        <v>908</v>
      </c>
      <c r="X60" s="165">
        <f t="shared" si="28"/>
        <v>0.23369565217391308</v>
      </c>
      <c r="Y60" s="179">
        <f t="shared" si="10"/>
        <v>0.90756302521008414</v>
      </c>
      <c r="Z60" s="165">
        <f t="shared" si="23"/>
        <v>1.6703906023775796E-4</v>
      </c>
    </row>
    <row r="61" spans="1:26" x14ac:dyDescent="0.25">
      <c r="A61" s="162" t="s">
        <v>133</v>
      </c>
      <c r="B61" s="163" t="s">
        <v>133</v>
      </c>
      <c r="C61" s="164">
        <v>0</v>
      </c>
      <c r="D61" s="164">
        <v>0</v>
      </c>
      <c r="E61" s="164">
        <v>0</v>
      </c>
      <c r="F61" s="164">
        <v>0</v>
      </c>
      <c r="G61" s="164">
        <v>0</v>
      </c>
      <c r="H61" s="165" t="str">
        <f t="shared" si="24"/>
        <v>-</v>
      </c>
      <c r="I61" s="179" t="str">
        <f t="shared" si="1"/>
        <v>-</v>
      </c>
      <c r="J61" s="165">
        <f t="shared" si="25"/>
        <v>0</v>
      </c>
      <c r="K61" s="164">
        <v>0</v>
      </c>
      <c r="L61" s="164">
        <v>0</v>
      </c>
      <c r="M61" s="164">
        <v>0</v>
      </c>
      <c r="N61" s="164">
        <v>0</v>
      </c>
      <c r="O61" s="164">
        <v>0</v>
      </c>
      <c r="P61" s="165" t="str">
        <f t="shared" si="26"/>
        <v>-</v>
      </c>
      <c r="Q61" s="179" t="str">
        <f t="shared" si="9"/>
        <v>-</v>
      </c>
      <c r="R61" s="165">
        <f t="shared" si="27"/>
        <v>0</v>
      </c>
      <c r="S61" s="164">
        <v>98</v>
      </c>
      <c r="T61" s="164">
        <v>132</v>
      </c>
      <c r="U61" s="164">
        <v>239</v>
      </c>
      <c r="V61" s="164">
        <v>145</v>
      </c>
      <c r="W61" s="164">
        <v>206</v>
      </c>
      <c r="X61" s="165">
        <f t="shared" si="28"/>
        <v>0.42068965517241375</v>
      </c>
      <c r="Y61" s="179">
        <f t="shared" si="10"/>
        <v>1.1020408163265305</v>
      </c>
      <c r="Z61" s="165">
        <f t="shared" si="23"/>
        <v>5.8451442747912382E-5</v>
      </c>
    </row>
    <row r="62" spans="1:26" x14ac:dyDescent="0.25">
      <c r="A62" s="162" t="s">
        <v>136</v>
      </c>
      <c r="B62" s="163" t="s">
        <v>136</v>
      </c>
      <c r="C62" s="164">
        <v>0</v>
      </c>
      <c r="D62" s="164">
        <v>0</v>
      </c>
      <c r="E62" s="164">
        <v>0</v>
      </c>
      <c r="F62" s="164">
        <v>0</v>
      </c>
      <c r="G62" s="164">
        <v>0</v>
      </c>
      <c r="H62" s="165" t="str">
        <f t="shared" si="24"/>
        <v>-</v>
      </c>
      <c r="I62" s="179" t="str">
        <f t="shared" si="1"/>
        <v>-</v>
      </c>
      <c r="J62" s="165">
        <f t="shared" si="25"/>
        <v>0</v>
      </c>
      <c r="K62" s="164">
        <v>0</v>
      </c>
      <c r="L62" s="164">
        <v>0</v>
      </c>
      <c r="M62" s="164">
        <v>0</v>
      </c>
      <c r="N62" s="164">
        <v>0</v>
      </c>
      <c r="O62" s="164">
        <v>0</v>
      </c>
      <c r="P62" s="165" t="str">
        <f t="shared" si="26"/>
        <v>-</v>
      </c>
      <c r="Q62" s="179" t="str">
        <f t="shared" si="9"/>
        <v>-</v>
      </c>
      <c r="R62" s="165">
        <f t="shared" si="27"/>
        <v>0</v>
      </c>
      <c r="S62" s="164">
        <v>91</v>
      </c>
      <c r="T62" s="164">
        <v>153</v>
      </c>
      <c r="U62" s="164">
        <v>195</v>
      </c>
      <c r="V62" s="164">
        <v>158</v>
      </c>
      <c r="W62" s="164">
        <v>477</v>
      </c>
      <c r="X62" s="165">
        <f t="shared" si="28"/>
        <v>2.018987341772152</v>
      </c>
      <c r="Y62" s="179">
        <f t="shared" si="10"/>
        <v>4.2417582417582418</v>
      </c>
      <c r="Z62" s="165">
        <f t="shared" si="23"/>
        <v>4.7690507681351107E-5</v>
      </c>
    </row>
    <row r="63" spans="1:26" x14ac:dyDescent="0.25">
      <c r="A63" s="167" t="s">
        <v>150</v>
      </c>
      <c r="B63" s="168" t="s">
        <v>150</v>
      </c>
      <c r="C63" s="169">
        <f>C55-SUM(C56:C62)</f>
        <v>0</v>
      </c>
      <c r="D63" s="169">
        <f>D55-SUM(D56:D62)</f>
        <v>0</v>
      </c>
      <c r="E63" s="169">
        <f>E55-SUM(E56:E62)</f>
        <v>0</v>
      </c>
      <c r="F63" s="169">
        <f>F55-SUM(F56:F62)</f>
        <v>0</v>
      </c>
      <c r="G63" s="169">
        <f>G55-SUM(G56:G62)</f>
        <v>0</v>
      </c>
      <c r="H63" s="170" t="str">
        <f t="shared" si="24"/>
        <v>-</v>
      </c>
      <c r="I63" s="180" t="str">
        <f t="shared" si="1"/>
        <v>-</v>
      </c>
      <c r="J63" s="170">
        <f t="shared" si="25"/>
        <v>0</v>
      </c>
      <c r="K63" s="169">
        <f>K55-SUM(K56:K62)</f>
        <v>0</v>
      </c>
      <c r="L63" s="169">
        <f>L55-SUM(L56:L62)</f>
        <v>0</v>
      </c>
      <c r="M63" s="169">
        <f>M55-SUM(M56:M62)</f>
        <v>0</v>
      </c>
      <c r="N63" s="169">
        <f>N55-SUM(N56:N62)</f>
        <v>0</v>
      </c>
      <c r="O63" s="169">
        <f>O55-SUM(O56:O62)</f>
        <v>0</v>
      </c>
      <c r="P63" s="170" t="str">
        <f t="shared" si="26"/>
        <v>-</v>
      </c>
      <c r="Q63" s="180" t="str">
        <f t="shared" si="9"/>
        <v>-</v>
      </c>
      <c r="R63" s="170">
        <f t="shared" si="27"/>
        <v>0</v>
      </c>
      <c r="S63" s="169">
        <f>S55-SUM(S56:S62)</f>
        <v>4347</v>
      </c>
      <c r="T63" s="169">
        <f>T55-SUM(T56:T62)</f>
        <v>9249</v>
      </c>
      <c r="U63" s="169">
        <f>U55-SUM(U56:U62)</f>
        <v>10298</v>
      </c>
      <c r="V63" s="169">
        <f>V55-SUM(V56:V62)</f>
        <v>10863</v>
      </c>
      <c r="W63" s="169">
        <f>W55-SUM(W56:W62)</f>
        <v>9982</v>
      </c>
      <c r="X63" s="170">
        <f t="shared" si="28"/>
        <v>-8.1100984994936898E-2</v>
      </c>
      <c r="Y63" s="180">
        <f t="shared" si="10"/>
        <v>1.2962962962962963</v>
      </c>
      <c r="Z63" s="170">
        <f t="shared" si="23"/>
        <v>2.5185479389874545E-3</v>
      </c>
    </row>
    <row r="64" spans="1:26" x14ac:dyDescent="0.25">
      <c r="A64" s="1"/>
      <c r="B64" s="155" t="s">
        <v>49</v>
      </c>
      <c r="C64" s="153"/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3"/>
      <c r="W64" s="153"/>
      <c r="X64" s="153"/>
      <c r="Y64" s="153"/>
      <c r="Z64" s="153"/>
    </row>
    <row r="65" spans="1:26" x14ac:dyDescent="0.25">
      <c r="A65" s="1" t="s">
        <v>0</v>
      </c>
      <c r="B65" s="156" t="s">
        <v>73</v>
      </c>
      <c r="C65" s="176">
        <f>C66+C69</f>
        <v>0</v>
      </c>
      <c r="D65" s="176">
        <f>D66+D69</f>
        <v>0</v>
      </c>
      <c r="E65" s="176">
        <f>E66+E69</f>
        <v>0</v>
      </c>
      <c r="F65" s="176">
        <f>F66+F69</f>
        <v>0</v>
      </c>
      <c r="G65" s="176">
        <f>G66+G69</f>
        <v>0</v>
      </c>
      <c r="H65" s="177" t="str">
        <f>IFERROR(G65/F65-1,"-")</f>
        <v>-</v>
      </c>
      <c r="I65" s="177" t="str">
        <f t="shared" si="1"/>
        <v>-</v>
      </c>
      <c r="J65" s="177">
        <f>G65/G$9</f>
        <v>0</v>
      </c>
      <c r="K65" s="176">
        <f>K66+K69</f>
        <v>0</v>
      </c>
      <c r="L65" s="176">
        <f>L66+L69</f>
        <v>0</v>
      </c>
      <c r="M65" s="176">
        <f>M66+M69</f>
        <v>0</v>
      </c>
      <c r="N65" s="176">
        <f>N66+N69</f>
        <v>0</v>
      </c>
      <c r="O65" s="176">
        <f>O66+O69</f>
        <v>0</v>
      </c>
      <c r="P65" s="177" t="str">
        <f>IFERROR(O65/N65-1,"-")</f>
        <v>-</v>
      </c>
      <c r="Q65" s="177" t="str">
        <f t="shared" si="9"/>
        <v>-</v>
      </c>
      <c r="R65" s="177">
        <f>O65/O$9</f>
        <v>0</v>
      </c>
      <c r="S65" s="176">
        <f>S66+S69</f>
        <v>62020</v>
      </c>
      <c r="T65" s="176">
        <f>T66+T69</f>
        <v>151473</v>
      </c>
      <c r="U65" s="176">
        <f>U66+U69</f>
        <v>164769</v>
      </c>
      <c r="V65" s="176">
        <f>V66+V69</f>
        <v>191595</v>
      </c>
      <c r="W65" s="176">
        <f>W66+W69</f>
        <v>151475</v>
      </c>
      <c r="X65" s="177">
        <f>IFERROR(W65/V65-1,"-")</f>
        <v>-0.20940003653540018</v>
      </c>
      <c r="Y65" s="177">
        <f t="shared" si="10"/>
        <v>1.4423573040954532</v>
      </c>
      <c r="Z65" s="177">
        <f t="shared" ref="Z65:Z77" si="29">U65/U$9</f>
        <v>4.0297011590505333E-2</v>
      </c>
    </row>
    <row r="66" spans="1:26" x14ac:dyDescent="0.25">
      <c r="A66" s="1" t="s">
        <v>101</v>
      </c>
      <c r="B66" s="159" t="s">
        <v>102</v>
      </c>
      <c r="C66" s="160">
        <v>0</v>
      </c>
      <c r="D66" s="160">
        <v>0</v>
      </c>
      <c r="E66" s="160">
        <v>0</v>
      </c>
      <c r="F66" s="160">
        <v>0</v>
      </c>
      <c r="G66" s="160">
        <v>0</v>
      </c>
      <c r="H66" s="161" t="str">
        <f>IFERROR(G66/F66-1,"-")</f>
        <v>-</v>
      </c>
      <c r="I66" s="178" t="str">
        <f t="shared" si="1"/>
        <v>-</v>
      </c>
      <c r="J66" s="161">
        <f>G66/G$9</f>
        <v>0</v>
      </c>
      <c r="K66" s="160">
        <v>0</v>
      </c>
      <c r="L66" s="160">
        <v>0</v>
      </c>
      <c r="M66" s="160">
        <v>0</v>
      </c>
      <c r="N66" s="160">
        <v>0</v>
      </c>
      <c r="O66" s="160">
        <v>0</v>
      </c>
      <c r="P66" s="161" t="str">
        <f>IFERROR(O66/N66-1,"-")</f>
        <v>-</v>
      </c>
      <c r="Q66" s="178" t="str">
        <f t="shared" si="9"/>
        <v>-</v>
      </c>
      <c r="R66" s="161">
        <f>O66/O$9</f>
        <v>0</v>
      </c>
      <c r="S66" s="160">
        <v>25803</v>
      </c>
      <c r="T66" s="160">
        <v>30941</v>
      </c>
      <c r="U66" s="160">
        <v>42327</v>
      </c>
      <c r="V66" s="160">
        <v>58550</v>
      </c>
      <c r="W66" s="160">
        <v>40777</v>
      </c>
      <c r="X66" s="161">
        <f>IFERROR(W66/V66-1,"-")</f>
        <v>-0.30355251921434667</v>
      </c>
      <c r="Y66" s="178">
        <f t="shared" si="10"/>
        <v>0.58032011781575776</v>
      </c>
      <c r="Z66" s="161">
        <f t="shared" si="29"/>
        <v>1.0351774967325889E-2</v>
      </c>
    </row>
    <row r="67" spans="1:26" x14ac:dyDescent="0.25">
      <c r="A67" s="162" t="s">
        <v>108</v>
      </c>
      <c r="B67" s="163" t="s">
        <v>108</v>
      </c>
      <c r="C67" s="164">
        <v>0</v>
      </c>
      <c r="D67" s="164">
        <v>0</v>
      </c>
      <c r="E67" s="164">
        <v>0</v>
      </c>
      <c r="F67" s="164">
        <v>0</v>
      </c>
      <c r="G67" s="164">
        <v>0</v>
      </c>
      <c r="H67" s="165" t="str">
        <f>IFERROR(G67/F67-1,"-")</f>
        <v>-</v>
      </c>
      <c r="I67" s="179" t="str">
        <f t="shared" si="1"/>
        <v>-</v>
      </c>
      <c r="J67" s="165">
        <f>G67/G$9</f>
        <v>0</v>
      </c>
      <c r="K67" s="164">
        <v>0</v>
      </c>
      <c r="L67" s="164">
        <v>0</v>
      </c>
      <c r="M67" s="164">
        <v>0</v>
      </c>
      <c r="N67" s="164">
        <v>0</v>
      </c>
      <c r="O67" s="164">
        <v>0</v>
      </c>
      <c r="P67" s="165" t="str">
        <f>IFERROR(O67/N67-1,"-")</f>
        <v>-</v>
      </c>
      <c r="Q67" s="179" t="str">
        <f t="shared" si="9"/>
        <v>-</v>
      </c>
      <c r="R67" s="165">
        <f>O67/O$9</f>
        <v>0</v>
      </c>
      <c r="S67" s="164">
        <v>21207</v>
      </c>
      <c r="T67" s="164">
        <v>22920</v>
      </c>
      <c r="U67" s="164">
        <v>28864</v>
      </c>
      <c r="V67" s="164">
        <v>34800</v>
      </c>
      <c r="W67" s="164">
        <v>14323</v>
      </c>
      <c r="X67" s="165">
        <f>IFERROR(W67/V67-1,"-")</f>
        <v>-0.58841954022988507</v>
      </c>
      <c r="Y67" s="179">
        <f t="shared" si="10"/>
        <v>-0.32460979865138873</v>
      </c>
      <c r="Z67" s="165">
        <f t="shared" si="29"/>
        <v>7.059173403664196E-3</v>
      </c>
    </row>
    <row r="68" spans="1:26" x14ac:dyDescent="0.25">
      <c r="A68" s="162" t="s">
        <v>105</v>
      </c>
      <c r="B68" s="163" t="s">
        <v>105</v>
      </c>
      <c r="C68" s="164">
        <v>0</v>
      </c>
      <c r="D68" s="164">
        <v>0</v>
      </c>
      <c r="E68" s="164">
        <v>0</v>
      </c>
      <c r="F68" s="164">
        <v>0</v>
      </c>
      <c r="G68" s="164">
        <v>0</v>
      </c>
      <c r="H68" s="165" t="str">
        <f>IFERROR(G68/F68-1,"-")</f>
        <v>-</v>
      </c>
      <c r="I68" s="179" t="str">
        <f t="shared" si="1"/>
        <v>-</v>
      </c>
      <c r="J68" s="165">
        <f>G68/G$9</f>
        <v>0</v>
      </c>
      <c r="K68" s="164">
        <v>0</v>
      </c>
      <c r="L68" s="164">
        <v>0</v>
      </c>
      <c r="M68" s="164">
        <v>0</v>
      </c>
      <c r="N68" s="164">
        <v>0</v>
      </c>
      <c r="O68" s="164">
        <v>0</v>
      </c>
      <c r="P68" s="165" t="str">
        <f>IFERROR(O68/N68-1,"-")</f>
        <v>-</v>
      </c>
      <c r="Q68" s="179" t="str">
        <f t="shared" si="9"/>
        <v>-</v>
      </c>
      <c r="R68" s="165">
        <f>O68/O$9</f>
        <v>0</v>
      </c>
      <c r="S68" s="164">
        <v>4596</v>
      </c>
      <c r="T68" s="164">
        <v>8021</v>
      </c>
      <c r="U68" s="164">
        <v>13463</v>
      </c>
      <c r="V68" s="164">
        <v>23750</v>
      </c>
      <c r="W68" s="164">
        <v>26454</v>
      </c>
      <c r="X68" s="165">
        <f>IFERROR(W68/V68-1,"-")</f>
        <v>0.11385263157894743</v>
      </c>
      <c r="Y68" s="179">
        <f t="shared" si="10"/>
        <v>4.7558746736292425</v>
      </c>
      <c r="Z68" s="165">
        <f t="shared" si="29"/>
        <v>3.292601563661692E-3</v>
      </c>
    </row>
    <row r="69" spans="1:26" x14ac:dyDescent="0.25">
      <c r="A69" s="1" t="s">
        <v>151</v>
      </c>
      <c r="B69" s="159" t="s">
        <v>112</v>
      </c>
      <c r="C69" s="160">
        <v>0</v>
      </c>
      <c r="D69" s="160">
        <v>0</v>
      </c>
      <c r="E69" s="160">
        <v>0</v>
      </c>
      <c r="F69" s="160">
        <v>0</v>
      </c>
      <c r="G69" s="160">
        <v>0</v>
      </c>
      <c r="H69" s="161" t="str">
        <f>IFERROR(G69/F69-1,"-")</f>
        <v>-</v>
      </c>
      <c r="I69" s="178" t="str">
        <f t="shared" si="1"/>
        <v>-</v>
      </c>
      <c r="J69" s="161">
        <f>G69/G$9</f>
        <v>0</v>
      </c>
      <c r="K69" s="160">
        <v>0</v>
      </c>
      <c r="L69" s="160">
        <v>0</v>
      </c>
      <c r="M69" s="160">
        <v>0</v>
      </c>
      <c r="N69" s="160">
        <v>0</v>
      </c>
      <c r="O69" s="160">
        <v>0</v>
      </c>
      <c r="P69" s="161" t="str">
        <f>IFERROR(O69/N69-1,"-")</f>
        <v>-</v>
      </c>
      <c r="Q69" s="178" t="str">
        <f t="shared" si="9"/>
        <v>-</v>
      </c>
      <c r="R69" s="161">
        <f>O69/O$9</f>
        <v>0</v>
      </c>
      <c r="S69" s="160">
        <v>36217</v>
      </c>
      <c r="T69" s="160">
        <v>120532</v>
      </c>
      <c r="U69" s="160">
        <v>122442</v>
      </c>
      <c r="V69" s="160">
        <v>133045</v>
      </c>
      <c r="W69" s="160">
        <v>110698</v>
      </c>
      <c r="X69" s="161">
        <f>IFERROR(W69/V69-1,"-")</f>
        <v>-0.16796572588222025</v>
      </c>
      <c r="Y69" s="178">
        <f t="shared" si="10"/>
        <v>2.0565204185879558</v>
      </c>
      <c r="Z69" s="161">
        <f t="shared" si="29"/>
        <v>2.9945236623179446E-2</v>
      </c>
    </row>
    <row r="70" spans="1:26" x14ac:dyDescent="0.25">
      <c r="A70" s="162" t="s">
        <v>115</v>
      </c>
      <c r="B70" s="163" t="s">
        <v>115</v>
      </c>
      <c r="C70" s="164">
        <v>0</v>
      </c>
      <c r="D70" s="164">
        <v>0</v>
      </c>
      <c r="E70" s="164">
        <v>0</v>
      </c>
      <c r="F70" s="164">
        <v>0</v>
      </c>
      <c r="G70" s="164">
        <v>0</v>
      </c>
      <c r="H70" s="165" t="str">
        <f t="shared" ref="H70:H77" si="30">IFERROR(G70/F70-1,"-")</f>
        <v>-</v>
      </c>
      <c r="I70" s="179" t="str">
        <f t="shared" si="1"/>
        <v>-</v>
      </c>
      <c r="J70" s="165">
        <f t="shared" ref="J70:J77" si="31">G70/G$9</f>
        <v>0</v>
      </c>
      <c r="K70" s="164">
        <v>0</v>
      </c>
      <c r="L70" s="164">
        <v>0</v>
      </c>
      <c r="M70" s="164">
        <v>0</v>
      </c>
      <c r="N70" s="164">
        <v>0</v>
      </c>
      <c r="O70" s="164">
        <v>0</v>
      </c>
      <c r="P70" s="165" t="str">
        <f t="shared" ref="P70:P77" si="32">IFERROR(O70/N70-1,"-")</f>
        <v>-</v>
      </c>
      <c r="Q70" s="179" t="str">
        <f t="shared" si="9"/>
        <v>-</v>
      </c>
      <c r="R70" s="165">
        <f t="shared" ref="R70:R77" si="33">O70/O$9</f>
        <v>0</v>
      </c>
      <c r="S70" s="164">
        <v>7549</v>
      </c>
      <c r="T70" s="164">
        <v>52809</v>
      </c>
      <c r="U70" s="164">
        <v>47522</v>
      </c>
      <c r="V70" s="164">
        <v>45250</v>
      </c>
      <c r="W70" s="164">
        <v>46430</v>
      </c>
      <c r="X70" s="165">
        <f t="shared" ref="X70:X77" si="34">IFERROR(W70/V70-1,"-")</f>
        <v>2.6077348066298356E-2</v>
      </c>
      <c r="Y70" s="179">
        <f t="shared" si="10"/>
        <v>5.1504835077493709</v>
      </c>
      <c r="Z70" s="165">
        <f t="shared" si="29"/>
        <v>1.1622299005298294E-2</v>
      </c>
    </row>
    <row r="71" spans="1:26" x14ac:dyDescent="0.25">
      <c r="A71" s="162" t="s">
        <v>118</v>
      </c>
      <c r="B71" s="163" t="s">
        <v>118</v>
      </c>
      <c r="C71" s="164">
        <v>0</v>
      </c>
      <c r="D71" s="164">
        <v>0</v>
      </c>
      <c r="E71" s="164">
        <v>0</v>
      </c>
      <c r="F71" s="164">
        <v>0</v>
      </c>
      <c r="G71" s="164">
        <v>0</v>
      </c>
      <c r="H71" s="165" t="str">
        <f t="shared" si="30"/>
        <v>-</v>
      </c>
      <c r="I71" s="179" t="str">
        <f t="shared" si="1"/>
        <v>-</v>
      </c>
      <c r="J71" s="165">
        <f t="shared" si="31"/>
        <v>0</v>
      </c>
      <c r="K71" s="164">
        <v>0</v>
      </c>
      <c r="L71" s="164">
        <v>0</v>
      </c>
      <c r="M71" s="164">
        <v>0</v>
      </c>
      <c r="N71" s="164">
        <v>0</v>
      </c>
      <c r="O71" s="164">
        <v>0</v>
      </c>
      <c r="P71" s="165" t="str">
        <f t="shared" si="32"/>
        <v>-</v>
      </c>
      <c r="Q71" s="179" t="str">
        <f t="shared" si="9"/>
        <v>-</v>
      </c>
      <c r="R71" s="165">
        <f t="shared" si="33"/>
        <v>0</v>
      </c>
      <c r="S71" s="164">
        <v>3513</v>
      </c>
      <c r="T71" s="164">
        <v>7009</v>
      </c>
      <c r="U71" s="164">
        <v>10647</v>
      </c>
      <c r="V71" s="164">
        <v>9892</v>
      </c>
      <c r="W71" s="164">
        <v>10514</v>
      </c>
      <c r="X71" s="165">
        <f t="shared" si="34"/>
        <v>6.2879094217549447E-2</v>
      </c>
      <c r="Y71" s="179">
        <f t="shared" si="10"/>
        <v>1.9928835752917733</v>
      </c>
      <c r="Z71" s="165">
        <f t="shared" si="29"/>
        <v>2.6039017194017704E-3</v>
      </c>
    </row>
    <row r="72" spans="1:26" x14ac:dyDescent="0.25">
      <c r="A72" s="162" t="s">
        <v>121</v>
      </c>
      <c r="B72" s="163" t="s">
        <v>121</v>
      </c>
      <c r="C72" s="164">
        <v>0</v>
      </c>
      <c r="D72" s="164">
        <v>0</v>
      </c>
      <c r="E72" s="164">
        <v>0</v>
      </c>
      <c r="F72" s="164">
        <v>0</v>
      </c>
      <c r="G72" s="164">
        <v>0</v>
      </c>
      <c r="H72" s="165" t="str">
        <f t="shared" si="30"/>
        <v>-</v>
      </c>
      <c r="I72" s="179" t="str">
        <f t="shared" si="1"/>
        <v>-</v>
      </c>
      <c r="J72" s="165">
        <f t="shared" si="31"/>
        <v>0</v>
      </c>
      <c r="K72" s="164">
        <v>0</v>
      </c>
      <c r="L72" s="164">
        <v>0</v>
      </c>
      <c r="M72" s="164">
        <v>0</v>
      </c>
      <c r="N72" s="164">
        <v>0</v>
      </c>
      <c r="O72" s="164">
        <v>0</v>
      </c>
      <c r="P72" s="165" t="str">
        <f t="shared" si="32"/>
        <v>-</v>
      </c>
      <c r="Q72" s="179" t="str">
        <f t="shared" si="9"/>
        <v>-</v>
      </c>
      <c r="R72" s="165">
        <f t="shared" si="33"/>
        <v>0</v>
      </c>
      <c r="S72" s="164">
        <v>6247</v>
      </c>
      <c r="T72" s="164">
        <v>17604</v>
      </c>
      <c r="U72" s="164">
        <v>14089</v>
      </c>
      <c r="V72" s="164">
        <v>19078</v>
      </c>
      <c r="W72" s="164">
        <v>9779</v>
      </c>
      <c r="X72" s="165">
        <f t="shared" si="34"/>
        <v>-0.48742006499633084</v>
      </c>
      <c r="Y72" s="179">
        <f t="shared" si="10"/>
        <v>0.56539138786617582</v>
      </c>
      <c r="Z72" s="165">
        <f t="shared" si="29"/>
        <v>3.4457003216541316E-3</v>
      </c>
    </row>
    <row r="73" spans="1:26" x14ac:dyDescent="0.25">
      <c r="A73" s="162" t="s">
        <v>128</v>
      </c>
      <c r="B73" s="163" t="s">
        <v>128</v>
      </c>
      <c r="C73" s="164">
        <v>0</v>
      </c>
      <c r="D73" s="164">
        <v>0</v>
      </c>
      <c r="E73" s="164">
        <v>0</v>
      </c>
      <c r="F73" s="164">
        <v>0</v>
      </c>
      <c r="G73" s="164">
        <v>0</v>
      </c>
      <c r="H73" s="165" t="str">
        <f t="shared" si="30"/>
        <v>-</v>
      </c>
      <c r="I73" s="179" t="str">
        <f t="shared" si="1"/>
        <v>-</v>
      </c>
      <c r="J73" s="165">
        <f t="shared" si="31"/>
        <v>0</v>
      </c>
      <c r="K73" s="164">
        <v>0</v>
      </c>
      <c r="L73" s="164">
        <v>0</v>
      </c>
      <c r="M73" s="164">
        <v>0</v>
      </c>
      <c r="N73" s="164">
        <v>0</v>
      </c>
      <c r="O73" s="164">
        <v>0</v>
      </c>
      <c r="P73" s="165" t="str">
        <f t="shared" si="32"/>
        <v>-</v>
      </c>
      <c r="Q73" s="179" t="str">
        <f t="shared" si="9"/>
        <v>-</v>
      </c>
      <c r="R73" s="165">
        <f t="shared" si="33"/>
        <v>0</v>
      </c>
      <c r="S73" s="164">
        <v>1777</v>
      </c>
      <c r="T73" s="164">
        <v>2468</v>
      </c>
      <c r="U73" s="164">
        <v>3450</v>
      </c>
      <c r="V73" s="164">
        <v>4281</v>
      </c>
      <c r="W73" s="164">
        <v>2636</v>
      </c>
      <c r="X73" s="165">
        <f t="shared" si="34"/>
        <v>-0.38425601494977812</v>
      </c>
      <c r="Y73" s="179">
        <f t="shared" si="10"/>
        <v>0.48339898705683737</v>
      </c>
      <c r="Z73" s="165">
        <f t="shared" si="29"/>
        <v>8.4375513590082723E-4</v>
      </c>
    </row>
    <row r="74" spans="1:26" x14ac:dyDescent="0.25">
      <c r="A74" s="162" t="s">
        <v>124</v>
      </c>
      <c r="B74" s="163" t="s">
        <v>124</v>
      </c>
      <c r="C74" s="164">
        <v>0</v>
      </c>
      <c r="D74" s="164">
        <v>0</v>
      </c>
      <c r="E74" s="164">
        <v>0</v>
      </c>
      <c r="F74" s="164">
        <v>0</v>
      </c>
      <c r="G74" s="164">
        <v>0</v>
      </c>
      <c r="H74" s="165" t="str">
        <f t="shared" si="30"/>
        <v>-</v>
      </c>
      <c r="I74" s="179" t="str">
        <f t="shared" ref="I74:I137" si="35">IFERROR(G74/C74-1,"-")</f>
        <v>-</v>
      </c>
      <c r="J74" s="165">
        <f t="shared" si="31"/>
        <v>0</v>
      </c>
      <c r="K74" s="164">
        <v>0</v>
      </c>
      <c r="L74" s="164">
        <v>0</v>
      </c>
      <c r="M74" s="164">
        <v>0</v>
      </c>
      <c r="N74" s="164">
        <v>0</v>
      </c>
      <c r="O74" s="164">
        <v>0</v>
      </c>
      <c r="P74" s="165" t="str">
        <f t="shared" si="32"/>
        <v>-</v>
      </c>
      <c r="Q74" s="179" t="str">
        <f t="shared" si="9"/>
        <v>-</v>
      </c>
      <c r="R74" s="165">
        <f t="shared" si="33"/>
        <v>0</v>
      </c>
      <c r="S74" s="164">
        <v>1607</v>
      </c>
      <c r="T74" s="164">
        <v>2853</v>
      </c>
      <c r="U74" s="164">
        <v>1813</v>
      </c>
      <c r="V74" s="164">
        <v>3870</v>
      </c>
      <c r="W74" s="164">
        <v>3064</v>
      </c>
      <c r="X74" s="165">
        <f t="shared" si="34"/>
        <v>-0.20826873385012923</v>
      </c>
      <c r="Y74" s="179">
        <f t="shared" si="10"/>
        <v>0.90665836963285629</v>
      </c>
      <c r="Z74" s="165">
        <f t="shared" si="29"/>
        <v>4.4339943808353616E-4</v>
      </c>
    </row>
    <row r="75" spans="1:26" x14ac:dyDescent="0.25">
      <c r="A75" s="162" t="s">
        <v>133</v>
      </c>
      <c r="B75" s="163" t="s">
        <v>133</v>
      </c>
      <c r="C75" s="164">
        <v>0</v>
      </c>
      <c r="D75" s="164">
        <v>0</v>
      </c>
      <c r="E75" s="164">
        <v>0</v>
      </c>
      <c r="F75" s="164">
        <v>0</v>
      </c>
      <c r="G75" s="164">
        <v>0</v>
      </c>
      <c r="H75" s="165" t="str">
        <f t="shared" si="30"/>
        <v>-</v>
      </c>
      <c r="I75" s="179" t="str">
        <f t="shared" si="35"/>
        <v>-</v>
      </c>
      <c r="J75" s="165">
        <f t="shared" si="31"/>
        <v>0</v>
      </c>
      <c r="K75" s="164">
        <v>0</v>
      </c>
      <c r="L75" s="164">
        <v>0</v>
      </c>
      <c r="M75" s="164">
        <v>0</v>
      </c>
      <c r="N75" s="164">
        <v>0</v>
      </c>
      <c r="O75" s="164">
        <v>0</v>
      </c>
      <c r="P75" s="165" t="str">
        <f t="shared" si="32"/>
        <v>-</v>
      </c>
      <c r="Q75" s="179" t="str">
        <f t="shared" si="9"/>
        <v>-</v>
      </c>
      <c r="R75" s="165">
        <f t="shared" si="33"/>
        <v>0</v>
      </c>
      <c r="S75" s="164">
        <v>1674</v>
      </c>
      <c r="T75" s="164">
        <v>2685</v>
      </c>
      <c r="U75" s="164">
        <v>3726</v>
      </c>
      <c r="V75" s="164">
        <v>2300</v>
      </c>
      <c r="W75" s="164">
        <v>1042</v>
      </c>
      <c r="X75" s="165">
        <f t="shared" si="34"/>
        <v>-0.54695652173913045</v>
      </c>
      <c r="Y75" s="179">
        <f t="shared" si="10"/>
        <v>-0.37753882915173242</v>
      </c>
      <c r="Z75" s="165">
        <f t="shared" si="29"/>
        <v>9.1125554677289338E-4</v>
      </c>
    </row>
    <row r="76" spans="1:26" x14ac:dyDescent="0.25">
      <c r="A76" s="162" t="s">
        <v>136</v>
      </c>
      <c r="B76" s="163" t="s">
        <v>136</v>
      </c>
      <c r="C76" s="164">
        <v>0</v>
      </c>
      <c r="D76" s="164">
        <v>0</v>
      </c>
      <c r="E76" s="164">
        <v>0</v>
      </c>
      <c r="F76" s="164">
        <v>0</v>
      </c>
      <c r="G76" s="164">
        <v>0</v>
      </c>
      <c r="H76" s="165" t="str">
        <f t="shared" si="30"/>
        <v>-</v>
      </c>
      <c r="I76" s="179" t="str">
        <f t="shared" si="35"/>
        <v>-</v>
      </c>
      <c r="J76" s="165">
        <f t="shared" si="31"/>
        <v>0</v>
      </c>
      <c r="K76" s="164">
        <v>0</v>
      </c>
      <c r="L76" s="164">
        <v>0</v>
      </c>
      <c r="M76" s="164">
        <v>0</v>
      </c>
      <c r="N76" s="164">
        <v>0</v>
      </c>
      <c r="O76" s="164">
        <v>0</v>
      </c>
      <c r="P76" s="165" t="str">
        <f t="shared" si="32"/>
        <v>-</v>
      </c>
      <c r="Q76" s="179" t="str">
        <f t="shared" si="9"/>
        <v>-</v>
      </c>
      <c r="R76" s="165">
        <f t="shared" si="33"/>
        <v>0</v>
      </c>
      <c r="S76" s="164">
        <v>154</v>
      </c>
      <c r="T76" s="164">
        <v>799</v>
      </c>
      <c r="U76" s="164">
        <v>1020</v>
      </c>
      <c r="V76" s="164">
        <v>628</v>
      </c>
      <c r="W76" s="164">
        <v>935</v>
      </c>
      <c r="X76" s="165">
        <f t="shared" si="34"/>
        <v>0.48885350318471343</v>
      </c>
      <c r="Y76" s="179">
        <f t="shared" si="10"/>
        <v>5.0714285714285712</v>
      </c>
      <c r="Z76" s="165">
        <f t="shared" si="29"/>
        <v>2.49458040179375E-4</v>
      </c>
    </row>
    <row r="77" spans="1:26" x14ac:dyDescent="0.25">
      <c r="A77" s="167" t="s">
        <v>150</v>
      </c>
      <c r="B77" s="168" t="s">
        <v>150</v>
      </c>
      <c r="C77" s="169">
        <f>C69-SUM(C70:C76)</f>
        <v>0</v>
      </c>
      <c r="D77" s="169">
        <f>D69-SUM(D70:D76)</f>
        <v>0</v>
      </c>
      <c r="E77" s="169">
        <f>E69-SUM(E70:E76)</f>
        <v>0</v>
      </c>
      <c r="F77" s="169">
        <f>F69-SUM(F70:F76)</f>
        <v>0</v>
      </c>
      <c r="G77" s="169">
        <f>G69-SUM(G70:G76)</f>
        <v>0</v>
      </c>
      <c r="H77" s="170" t="str">
        <f t="shared" si="30"/>
        <v>-</v>
      </c>
      <c r="I77" s="180" t="str">
        <f t="shared" si="35"/>
        <v>-</v>
      </c>
      <c r="J77" s="170">
        <f t="shared" si="31"/>
        <v>0</v>
      </c>
      <c r="K77" s="169">
        <f>K69-SUM(K70:K76)</f>
        <v>0</v>
      </c>
      <c r="L77" s="169">
        <f>L69-SUM(L70:L76)</f>
        <v>0</v>
      </c>
      <c r="M77" s="169">
        <f>M69-SUM(M70:M76)</f>
        <v>0</v>
      </c>
      <c r="N77" s="169">
        <f>N69-SUM(N70:N76)</f>
        <v>0</v>
      </c>
      <c r="O77" s="169">
        <f>O69-SUM(O70:O76)</f>
        <v>0</v>
      </c>
      <c r="P77" s="170" t="str">
        <f t="shared" si="32"/>
        <v>-</v>
      </c>
      <c r="Q77" s="180" t="str">
        <f t="shared" si="9"/>
        <v>-</v>
      </c>
      <c r="R77" s="170">
        <f t="shared" si="33"/>
        <v>0</v>
      </c>
      <c r="S77" s="169">
        <f>S69-SUM(S70:S76)</f>
        <v>13696</v>
      </c>
      <c r="T77" s="169">
        <f>T69-SUM(T70:T76)</f>
        <v>34305</v>
      </c>
      <c r="U77" s="169">
        <f>U69-SUM(U70:U76)</f>
        <v>40175</v>
      </c>
      <c r="V77" s="169">
        <f>V69-SUM(V70:V76)</f>
        <v>47746</v>
      </c>
      <c r="W77" s="169">
        <f>W69-SUM(W70:W76)</f>
        <v>36298</v>
      </c>
      <c r="X77" s="170">
        <f t="shared" si="34"/>
        <v>-0.23976877644200556</v>
      </c>
      <c r="Y77" s="180">
        <f t="shared" si="10"/>
        <v>1.6502628504672896</v>
      </c>
      <c r="Z77" s="170">
        <f t="shared" si="29"/>
        <v>9.8254674158886179E-3</v>
      </c>
    </row>
    <row r="78" spans="1:26" x14ac:dyDescent="0.25">
      <c r="A78" s="1"/>
      <c r="B78" s="155" t="s">
        <v>50</v>
      </c>
      <c r="C78" s="153"/>
      <c r="D78" s="153"/>
      <c r="E78" s="153"/>
      <c r="F78" s="153"/>
      <c r="G78" s="153"/>
      <c r="H78" s="153"/>
      <c r="I78" s="153"/>
      <c r="J78" s="153"/>
      <c r="K78" s="153"/>
      <c r="L78" s="153"/>
      <c r="M78" s="153"/>
      <c r="N78" s="153"/>
      <c r="O78" s="153"/>
      <c r="P78" s="153"/>
      <c r="Q78" s="153"/>
      <c r="R78" s="153"/>
      <c r="S78" s="153"/>
      <c r="T78" s="153"/>
      <c r="U78" s="153"/>
      <c r="V78" s="153"/>
      <c r="W78" s="153"/>
      <c r="X78" s="153"/>
      <c r="Y78" s="153"/>
      <c r="Z78" s="153"/>
    </row>
    <row r="79" spans="1:26" x14ac:dyDescent="0.25">
      <c r="A79" s="1" t="s">
        <v>0</v>
      </c>
      <c r="B79" s="156" t="s">
        <v>73</v>
      </c>
      <c r="C79" s="176">
        <f>C80+C83</f>
        <v>70827</v>
      </c>
      <c r="D79" s="176">
        <f>D80+D83</f>
        <v>98456</v>
      </c>
      <c r="E79" s="176">
        <f>E80+E83</f>
        <v>104893</v>
      </c>
      <c r="F79" s="176">
        <f>F80+F83</f>
        <v>118842</v>
      </c>
      <c r="G79" s="176">
        <f>G80+G83</f>
        <v>127700</v>
      </c>
      <c r="H79" s="177">
        <f>IFERROR(G79/F79-1,"-")</f>
        <v>7.4535938472930496E-2</v>
      </c>
      <c r="I79" s="177">
        <f t="shared" si="35"/>
        <v>0.80298473745887877</v>
      </c>
      <c r="J79" s="177">
        <f>G79/G$9</f>
        <v>0.16800155766518618</v>
      </c>
      <c r="K79" s="176">
        <f>K80+K83</f>
        <v>214429</v>
      </c>
      <c r="L79" s="176">
        <f>L80+L83</f>
        <v>476344</v>
      </c>
      <c r="M79" s="176">
        <f>M80+M83</f>
        <v>550170</v>
      </c>
      <c r="N79" s="176">
        <f>N80+N83</f>
        <v>623703</v>
      </c>
      <c r="O79" s="176">
        <f>O80+O83</f>
        <v>619427</v>
      </c>
      <c r="P79" s="177">
        <f>IFERROR(O79/N79-1,"-")</f>
        <v>-6.8558272126316711E-3</v>
      </c>
      <c r="Q79" s="177">
        <f t="shared" si="9"/>
        <v>1.8887277373862679</v>
      </c>
      <c r="R79" s="177">
        <f>O79/O$9</f>
        <v>0.18013212409090895</v>
      </c>
      <c r="S79" s="176">
        <f>S80+S83</f>
        <v>285256</v>
      </c>
      <c r="T79" s="176">
        <f>T80+T83</f>
        <v>574800</v>
      </c>
      <c r="U79" s="176">
        <f>U80+U83</f>
        <v>655063</v>
      </c>
      <c r="V79" s="176">
        <f>V80+V83</f>
        <v>742545</v>
      </c>
      <c r="W79" s="176">
        <f>W80+W83</f>
        <v>747127</v>
      </c>
      <c r="X79" s="177">
        <f>IFERROR(W79/V79-1,"-")</f>
        <v>6.1706697910564046E-3</v>
      </c>
      <c r="Y79" s="177">
        <f t="shared" si="10"/>
        <v>1.6191456095577306</v>
      </c>
      <c r="Z79" s="177">
        <f t="shared" ref="Z79:Z91" si="36">U79/U$9</f>
        <v>0.16020660017060973</v>
      </c>
    </row>
    <row r="80" spans="1:26" x14ac:dyDescent="0.25">
      <c r="A80" s="1" t="s">
        <v>101</v>
      </c>
      <c r="B80" s="159" t="s">
        <v>102</v>
      </c>
      <c r="C80" s="160">
        <v>38077</v>
      </c>
      <c r="D80" s="160">
        <v>48839</v>
      </c>
      <c r="E80" s="160">
        <v>50783</v>
      </c>
      <c r="F80" s="160">
        <v>56114</v>
      </c>
      <c r="G80" s="160">
        <v>64071</v>
      </c>
      <c r="H80" s="161">
        <f>IFERROR(G80/F80-1,"-")</f>
        <v>0.14180062016609041</v>
      </c>
      <c r="I80" s="178">
        <f t="shared" si="35"/>
        <v>0.68266932794075164</v>
      </c>
      <c r="J80" s="161">
        <f>G80/G$9</f>
        <v>8.4291525459405978E-2</v>
      </c>
      <c r="K80" s="160">
        <v>109519</v>
      </c>
      <c r="L80" s="160">
        <v>230615</v>
      </c>
      <c r="M80" s="160">
        <v>229750</v>
      </c>
      <c r="N80" s="160">
        <v>243834</v>
      </c>
      <c r="O80" s="160">
        <v>244197</v>
      </c>
      <c r="P80" s="161">
        <f>IFERROR(O80/N80-1,"-")</f>
        <v>1.4887177341962321E-3</v>
      </c>
      <c r="Q80" s="178">
        <f t="shared" si="9"/>
        <v>1.2297226965184125</v>
      </c>
      <c r="R80" s="161">
        <f>O80/O$9</f>
        <v>7.101357271579653E-2</v>
      </c>
      <c r="S80" s="160">
        <v>147596</v>
      </c>
      <c r="T80" s="160">
        <v>279454</v>
      </c>
      <c r="U80" s="160">
        <v>280533</v>
      </c>
      <c r="V80" s="160">
        <v>299948</v>
      </c>
      <c r="W80" s="160">
        <v>308268</v>
      </c>
      <c r="X80" s="161">
        <f>IFERROR(W80/V80-1,"-")</f>
        <v>2.7738141277821482E-2</v>
      </c>
      <c r="Y80" s="178">
        <f t="shared" si="10"/>
        <v>1.0885931868072305</v>
      </c>
      <c r="Z80" s="161">
        <f t="shared" si="36"/>
        <v>6.8609031750628047E-2</v>
      </c>
    </row>
    <row r="81" spans="1:26" x14ac:dyDescent="0.25">
      <c r="A81" s="162" t="s">
        <v>108</v>
      </c>
      <c r="B81" s="163" t="s">
        <v>108</v>
      </c>
      <c r="C81" s="164">
        <v>24218</v>
      </c>
      <c r="D81" s="164">
        <v>29828</v>
      </c>
      <c r="E81" s="164">
        <v>31545</v>
      </c>
      <c r="F81" s="164">
        <v>30462</v>
      </c>
      <c r="G81" s="164">
        <v>32705</v>
      </c>
      <c r="H81" s="165">
        <f>IFERROR(G81/F81-1,"-")</f>
        <v>7.3632722736524103E-2</v>
      </c>
      <c r="I81" s="179">
        <f t="shared" si="35"/>
        <v>0.35044182013378489</v>
      </c>
      <c r="J81" s="165">
        <f>G81/G$9</f>
        <v>4.3026553981518514E-2</v>
      </c>
      <c r="K81" s="164">
        <v>24585</v>
      </c>
      <c r="L81" s="164">
        <v>36378</v>
      </c>
      <c r="M81" s="164">
        <v>29406</v>
      </c>
      <c r="N81" s="164">
        <v>41998</v>
      </c>
      <c r="O81" s="164">
        <v>39469</v>
      </c>
      <c r="P81" s="165">
        <f>IFERROR(O81/N81-1,"-")</f>
        <v>-6.0217153197771323E-2</v>
      </c>
      <c r="Q81" s="179">
        <f t="shared" si="9"/>
        <v>0.60540980272523903</v>
      </c>
      <c r="R81" s="165">
        <f>O81/O$9</f>
        <v>1.147776058477284E-2</v>
      </c>
      <c r="S81" s="164">
        <v>48803</v>
      </c>
      <c r="T81" s="164">
        <v>66206</v>
      </c>
      <c r="U81" s="164">
        <v>60951</v>
      </c>
      <c r="V81" s="164">
        <v>72460</v>
      </c>
      <c r="W81" s="164">
        <v>72174</v>
      </c>
      <c r="X81" s="165">
        <f>IFERROR(W81/V81-1,"-")</f>
        <v>-3.9470052442727166E-3</v>
      </c>
      <c r="Y81" s="179">
        <f t="shared" si="10"/>
        <v>0.47888449480564721</v>
      </c>
      <c r="Z81" s="165">
        <f t="shared" si="36"/>
        <v>1.4906585300954006E-2</v>
      </c>
    </row>
    <row r="82" spans="1:26" x14ac:dyDescent="0.25">
      <c r="A82" s="162" t="s">
        <v>105</v>
      </c>
      <c r="B82" s="163" t="s">
        <v>105</v>
      </c>
      <c r="C82" s="164">
        <v>13859</v>
      </c>
      <c r="D82" s="164">
        <v>19011</v>
      </c>
      <c r="E82" s="164">
        <v>19238</v>
      </c>
      <c r="F82" s="164">
        <v>25652</v>
      </c>
      <c r="G82" s="164">
        <v>31366</v>
      </c>
      <c r="H82" s="165">
        <f>IFERROR(G82/F82-1,"-")</f>
        <v>0.22275066271635735</v>
      </c>
      <c r="I82" s="179">
        <f t="shared" si="35"/>
        <v>1.263222454722563</v>
      </c>
      <c r="J82" s="165">
        <f>G82/G$9</f>
        <v>4.126497147788747E-2</v>
      </c>
      <c r="K82" s="164">
        <v>84934</v>
      </c>
      <c r="L82" s="164">
        <v>194237</v>
      </c>
      <c r="M82" s="164">
        <v>200344</v>
      </c>
      <c r="N82" s="164">
        <v>201836</v>
      </c>
      <c r="O82" s="164">
        <v>204728</v>
      </c>
      <c r="P82" s="165">
        <f>IFERROR(O82/N82-1,"-")</f>
        <v>1.4328464694107979E-2</v>
      </c>
      <c r="Q82" s="179">
        <f t="shared" si="9"/>
        <v>1.410436338804248</v>
      </c>
      <c r="R82" s="165">
        <f>O82/O$9</f>
        <v>5.9535812131023685E-2</v>
      </c>
      <c r="S82" s="164">
        <v>98793</v>
      </c>
      <c r="T82" s="164">
        <v>213248</v>
      </c>
      <c r="U82" s="164">
        <v>219582</v>
      </c>
      <c r="V82" s="164">
        <v>227488</v>
      </c>
      <c r="W82" s="164">
        <v>236094</v>
      </c>
      <c r="X82" s="165">
        <f>IFERROR(W82/V82-1,"-")</f>
        <v>3.783056688704467E-2</v>
      </c>
      <c r="Y82" s="179">
        <f t="shared" si="10"/>
        <v>1.3897847013452371</v>
      </c>
      <c r="Z82" s="165">
        <f t="shared" si="36"/>
        <v>5.3702446449674042E-2</v>
      </c>
    </row>
    <row r="83" spans="1:26" x14ac:dyDescent="0.25">
      <c r="A83" s="1" t="s">
        <v>151</v>
      </c>
      <c r="B83" s="159" t="s">
        <v>112</v>
      </c>
      <c r="C83" s="160">
        <v>32750</v>
      </c>
      <c r="D83" s="160">
        <v>49617</v>
      </c>
      <c r="E83" s="160">
        <v>54110</v>
      </c>
      <c r="F83" s="160">
        <v>62728</v>
      </c>
      <c r="G83" s="160">
        <v>63629</v>
      </c>
      <c r="H83" s="161">
        <f>IFERROR(G83/F83-1,"-")</f>
        <v>1.4363601581431018E-2</v>
      </c>
      <c r="I83" s="178">
        <f t="shared" si="35"/>
        <v>0.94287022900763362</v>
      </c>
      <c r="J83" s="161">
        <f>G83/G$9</f>
        <v>8.3710032205780202E-2</v>
      </c>
      <c r="K83" s="160">
        <v>104910</v>
      </c>
      <c r="L83" s="160">
        <v>245729</v>
      </c>
      <c r="M83" s="160">
        <v>320420</v>
      </c>
      <c r="N83" s="160">
        <v>379869</v>
      </c>
      <c r="O83" s="160">
        <v>375230</v>
      </c>
      <c r="P83" s="161">
        <f>IFERROR(O83/N83-1,"-")</f>
        <v>-1.2212104699251602E-2</v>
      </c>
      <c r="Q83" s="178">
        <f t="shared" si="9"/>
        <v>2.5766847774282717</v>
      </c>
      <c r="R83" s="161">
        <f>O83/O$9</f>
        <v>0.10911855137511244</v>
      </c>
      <c r="S83" s="160">
        <v>137660</v>
      </c>
      <c r="T83" s="160">
        <v>295346</v>
      </c>
      <c r="U83" s="160">
        <v>374530</v>
      </c>
      <c r="V83" s="160">
        <v>442597</v>
      </c>
      <c r="W83" s="160">
        <v>438859</v>
      </c>
      <c r="X83" s="161">
        <f>IFERROR(W83/V83-1,"-")</f>
        <v>-8.4456062738789139E-3</v>
      </c>
      <c r="Y83" s="178">
        <f t="shared" si="10"/>
        <v>2.1879921545837573</v>
      </c>
      <c r="Z83" s="161">
        <f t="shared" si="36"/>
        <v>9.1597568419981693E-2</v>
      </c>
    </row>
    <row r="84" spans="1:26" x14ac:dyDescent="0.25">
      <c r="A84" s="162" t="s">
        <v>115</v>
      </c>
      <c r="B84" s="163" t="s">
        <v>115</v>
      </c>
      <c r="C84" s="164">
        <v>3228</v>
      </c>
      <c r="D84" s="164">
        <v>5828</v>
      </c>
      <c r="E84" s="164">
        <v>7066</v>
      </c>
      <c r="F84" s="164">
        <v>9146</v>
      </c>
      <c r="G84" s="164">
        <v>9299</v>
      </c>
      <c r="H84" s="165">
        <f t="shared" ref="H84:H91" si="37">IFERROR(G84/F84-1,"-")</f>
        <v>1.6728624535315983E-2</v>
      </c>
      <c r="I84" s="179">
        <f t="shared" si="35"/>
        <v>1.8807311028500622</v>
      </c>
      <c r="J84" s="165">
        <f t="shared" ref="J84:J91" si="38">G84/G$9</f>
        <v>1.2233723451280864E-2</v>
      </c>
      <c r="K84" s="164">
        <v>11210</v>
      </c>
      <c r="L84" s="164">
        <v>56300</v>
      </c>
      <c r="M84" s="164">
        <v>75623</v>
      </c>
      <c r="N84" s="164">
        <v>87361</v>
      </c>
      <c r="O84" s="164">
        <v>91968</v>
      </c>
      <c r="P84" s="165">
        <f t="shared" ref="P84:P91" si="39">IFERROR(O84/N84-1,"-")</f>
        <v>5.2735202206934506E-2</v>
      </c>
      <c r="Q84" s="179">
        <f t="shared" si="9"/>
        <v>7.2041034790365739</v>
      </c>
      <c r="R84" s="165">
        <f t="shared" ref="R84:R91" si="40">O84/O$9</f>
        <v>2.6744703069760786E-2</v>
      </c>
      <c r="S84" s="164">
        <v>14438</v>
      </c>
      <c r="T84" s="164">
        <v>62128</v>
      </c>
      <c r="U84" s="164">
        <v>82689</v>
      </c>
      <c r="V84" s="164">
        <v>96507</v>
      </c>
      <c r="W84" s="164">
        <v>101267</v>
      </c>
      <c r="X84" s="165">
        <f t="shared" ref="X84:X91" si="41">IFERROR(W84/V84-1,"-")</f>
        <v>4.9322847047364338E-2</v>
      </c>
      <c r="Y84" s="179">
        <f t="shared" si="10"/>
        <v>6.0139215957888901</v>
      </c>
      <c r="Z84" s="165">
        <f t="shared" si="36"/>
        <v>2.0222976357247392E-2</v>
      </c>
    </row>
    <row r="85" spans="1:26" x14ac:dyDescent="0.25">
      <c r="A85" s="162" t="s">
        <v>118</v>
      </c>
      <c r="B85" s="163" t="s">
        <v>118</v>
      </c>
      <c r="C85" s="164">
        <v>8563</v>
      </c>
      <c r="D85" s="164">
        <v>13220</v>
      </c>
      <c r="E85" s="164">
        <v>14970</v>
      </c>
      <c r="F85" s="164">
        <v>15604</v>
      </c>
      <c r="G85" s="164">
        <v>14631</v>
      </c>
      <c r="H85" s="165">
        <f t="shared" si="37"/>
        <v>-6.2355806203537534E-2</v>
      </c>
      <c r="I85" s="179">
        <f t="shared" si="35"/>
        <v>0.7086301529837673</v>
      </c>
      <c r="J85" s="165">
        <f t="shared" si="38"/>
        <v>1.9248479171490519E-2</v>
      </c>
      <c r="K85" s="164">
        <v>36097</v>
      </c>
      <c r="L85" s="164">
        <v>84214</v>
      </c>
      <c r="M85" s="164">
        <v>97137</v>
      </c>
      <c r="N85" s="164">
        <v>107979</v>
      </c>
      <c r="O85" s="164">
        <v>105125</v>
      </c>
      <c r="P85" s="165">
        <f t="shared" si="39"/>
        <v>-2.6431065299734158E-2</v>
      </c>
      <c r="Q85" s="179">
        <f t="shared" si="9"/>
        <v>1.9122918802116518</v>
      </c>
      <c r="R85" s="165">
        <f t="shared" si="40"/>
        <v>3.057081713431414E-2</v>
      </c>
      <c r="S85" s="164">
        <v>44660</v>
      </c>
      <c r="T85" s="164">
        <v>97434</v>
      </c>
      <c r="U85" s="164">
        <v>112107</v>
      </c>
      <c r="V85" s="164">
        <v>123583</v>
      </c>
      <c r="W85" s="164">
        <v>119756</v>
      </c>
      <c r="X85" s="165">
        <f t="shared" si="41"/>
        <v>-3.0967042392562094E-2</v>
      </c>
      <c r="Y85" s="179">
        <f t="shared" si="10"/>
        <v>1.6815047021943572</v>
      </c>
      <c r="Z85" s="165">
        <f t="shared" si="36"/>
        <v>2.7417639716067838E-2</v>
      </c>
    </row>
    <row r="86" spans="1:26" x14ac:dyDescent="0.25">
      <c r="A86" s="162" t="s">
        <v>121</v>
      </c>
      <c r="B86" s="163" t="s">
        <v>121</v>
      </c>
      <c r="C86" s="164">
        <v>5280</v>
      </c>
      <c r="D86" s="164">
        <v>5870</v>
      </c>
      <c r="E86" s="164">
        <v>5310</v>
      </c>
      <c r="F86" s="164">
        <v>6020</v>
      </c>
      <c r="G86" s="164">
        <v>6184</v>
      </c>
      <c r="H86" s="165">
        <f t="shared" si="37"/>
        <v>2.7242524916943456E-2</v>
      </c>
      <c r="I86" s="179">
        <f t="shared" si="35"/>
        <v>0.17121212121212115</v>
      </c>
      <c r="J86" s="165">
        <f t="shared" si="38"/>
        <v>8.1356431683751868E-3</v>
      </c>
      <c r="K86" s="164">
        <v>11108</v>
      </c>
      <c r="L86" s="164">
        <v>20133</v>
      </c>
      <c r="M86" s="164">
        <v>32432</v>
      </c>
      <c r="N86" s="164">
        <v>46149</v>
      </c>
      <c r="O86" s="164">
        <v>40975</v>
      </c>
      <c r="P86" s="165">
        <f t="shared" si="39"/>
        <v>-0.11211510541940239</v>
      </c>
      <c r="Q86" s="179">
        <f t="shared" si="9"/>
        <v>2.6887828592005762</v>
      </c>
      <c r="R86" s="165">
        <f t="shared" si="40"/>
        <v>1.1915712076846819E-2</v>
      </c>
      <c r="S86" s="164">
        <v>16388</v>
      </c>
      <c r="T86" s="164">
        <v>26003</v>
      </c>
      <c r="U86" s="164">
        <v>37742</v>
      </c>
      <c r="V86" s="164">
        <v>52169</v>
      </c>
      <c r="W86" s="164">
        <v>47159</v>
      </c>
      <c r="X86" s="165">
        <f t="shared" si="41"/>
        <v>-9.6034043205735165E-2</v>
      </c>
      <c r="Y86" s="179">
        <f t="shared" si="10"/>
        <v>1.8776543812545765</v>
      </c>
      <c r="Z86" s="165">
        <f t="shared" si="36"/>
        <v>9.2304366200489912E-3</v>
      </c>
    </row>
    <row r="87" spans="1:26" x14ac:dyDescent="0.25">
      <c r="A87" s="162" t="s">
        <v>128</v>
      </c>
      <c r="B87" s="163" t="s">
        <v>128</v>
      </c>
      <c r="C87" s="164">
        <v>921</v>
      </c>
      <c r="D87" s="164">
        <v>1133</v>
      </c>
      <c r="E87" s="164">
        <v>1155</v>
      </c>
      <c r="F87" s="164">
        <v>1481</v>
      </c>
      <c r="G87" s="164">
        <v>1612</v>
      </c>
      <c r="H87" s="165">
        <f t="shared" si="37"/>
        <v>8.8453747467927002E-2</v>
      </c>
      <c r="I87" s="179">
        <f t="shared" si="35"/>
        <v>0.75027144408251889</v>
      </c>
      <c r="J87" s="165">
        <f t="shared" si="38"/>
        <v>2.1207401014587323E-3</v>
      </c>
      <c r="K87" s="164">
        <v>2935</v>
      </c>
      <c r="L87" s="164">
        <v>4473</v>
      </c>
      <c r="M87" s="164">
        <v>6846</v>
      </c>
      <c r="N87" s="164">
        <v>11371</v>
      </c>
      <c r="O87" s="164">
        <v>11141</v>
      </c>
      <c r="P87" s="165">
        <f t="shared" si="39"/>
        <v>-2.0226892973353228E-2</v>
      </c>
      <c r="Q87" s="179">
        <f t="shared" ref="Q87:Q150" si="42">IFERROR(O87/K87-1,"-")</f>
        <v>2.7959114139693355</v>
      </c>
      <c r="R87" s="165">
        <f t="shared" si="40"/>
        <v>3.2398523062391804E-3</v>
      </c>
      <c r="S87" s="164">
        <v>3856</v>
      </c>
      <c r="T87" s="164">
        <v>5606</v>
      </c>
      <c r="U87" s="164">
        <v>8001</v>
      </c>
      <c r="V87" s="164">
        <v>12852</v>
      </c>
      <c r="W87" s="164">
        <v>12753</v>
      </c>
      <c r="X87" s="165">
        <f t="shared" si="41"/>
        <v>-7.7030812324929698E-3</v>
      </c>
      <c r="Y87" s="179">
        <f t="shared" ref="Y87:Y150" si="43">IFERROR(W87/S87-1,"-")</f>
        <v>2.3073132780082988</v>
      </c>
      <c r="Z87" s="165">
        <f t="shared" si="36"/>
        <v>1.9567782151717447E-3</v>
      </c>
    </row>
    <row r="88" spans="1:26" x14ac:dyDescent="0.25">
      <c r="A88" s="162" t="s">
        <v>124</v>
      </c>
      <c r="B88" s="163" t="s">
        <v>124</v>
      </c>
      <c r="C88" s="164">
        <v>804</v>
      </c>
      <c r="D88" s="164">
        <v>921</v>
      </c>
      <c r="E88" s="164">
        <v>774</v>
      </c>
      <c r="F88" s="164">
        <v>909</v>
      </c>
      <c r="G88" s="164">
        <v>892</v>
      </c>
      <c r="H88" s="165">
        <f t="shared" si="37"/>
        <v>-1.8701870187018743E-2</v>
      </c>
      <c r="I88" s="179">
        <f t="shared" si="35"/>
        <v>0.10945273631840791</v>
      </c>
      <c r="J88" s="165">
        <f t="shared" si="38"/>
        <v>1.1735112720230702E-3</v>
      </c>
      <c r="K88" s="164">
        <v>3904</v>
      </c>
      <c r="L88" s="164">
        <v>4162</v>
      </c>
      <c r="M88" s="164">
        <v>5572</v>
      </c>
      <c r="N88" s="164">
        <v>7126</v>
      </c>
      <c r="O88" s="164">
        <v>7672</v>
      </c>
      <c r="P88" s="165">
        <f t="shared" si="39"/>
        <v>7.6620825147347693E-2</v>
      </c>
      <c r="Q88" s="179">
        <f t="shared" si="42"/>
        <v>0.9651639344262295</v>
      </c>
      <c r="R88" s="165">
        <f t="shared" si="40"/>
        <v>2.2310516913622647E-3</v>
      </c>
      <c r="S88" s="164">
        <v>4708</v>
      </c>
      <c r="T88" s="164">
        <v>5083</v>
      </c>
      <c r="U88" s="164">
        <v>6346</v>
      </c>
      <c r="V88" s="164">
        <v>8035</v>
      </c>
      <c r="W88" s="164">
        <v>8564</v>
      </c>
      <c r="X88" s="165">
        <f t="shared" si="41"/>
        <v>6.5836963285625494E-2</v>
      </c>
      <c r="Y88" s="179">
        <f t="shared" si="43"/>
        <v>0.81903143585386573</v>
      </c>
      <c r="Z88" s="165">
        <f t="shared" si="36"/>
        <v>1.5520203166454057E-3</v>
      </c>
    </row>
    <row r="89" spans="1:26" x14ac:dyDescent="0.25">
      <c r="A89" s="162" t="s">
        <v>133</v>
      </c>
      <c r="B89" s="163" t="s">
        <v>133</v>
      </c>
      <c r="C89" s="164">
        <v>296</v>
      </c>
      <c r="D89" s="164">
        <v>433</v>
      </c>
      <c r="E89" s="164">
        <v>451</v>
      </c>
      <c r="F89" s="164">
        <v>500</v>
      </c>
      <c r="G89" s="164">
        <v>595</v>
      </c>
      <c r="H89" s="165">
        <f t="shared" si="37"/>
        <v>0.18999999999999995</v>
      </c>
      <c r="I89" s="179">
        <f t="shared" si="35"/>
        <v>1.0101351351351351</v>
      </c>
      <c r="J89" s="165">
        <f t="shared" si="38"/>
        <v>7.8277937988085967E-4</v>
      </c>
      <c r="K89" s="164">
        <v>781</v>
      </c>
      <c r="L89" s="164">
        <v>2952</v>
      </c>
      <c r="M89" s="164">
        <v>3352</v>
      </c>
      <c r="N89" s="164">
        <v>3068</v>
      </c>
      <c r="O89" s="164">
        <v>3215</v>
      </c>
      <c r="P89" s="165">
        <f t="shared" si="39"/>
        <v>4.7913950456323295E-2</v>
      </c>
      <c r="Q89" s="179">
        <f t="shared" si="42"/>
        <v>3.1165172855313701</v>
      </c>
      <c r="R89" s="165">
        <f t="shared" si="40"/>
        <v>9.3493628620042765E-4</v>
      </c>
      <c r="S89" s="164">
        <v>1077</v>
      </c>
      <c r="T89" s="164">
        <v>3385</v>
      </c>
      <c r="U89" s="164">
        <v>3803</v>
      </c>
      <c r="V89" s="164">
        <v>3568</v>
      </c>
      <c r="W89" s="164">
        <v>3810</v>
      </c>
      <c r="X89" s="165">
        <f t="shared" si="41"/>
        <v>6.7825112107623209E-2</v>
      </c>
      <c r="Y89" s="179">
        <f t="shared" si="43"/>
        <v>2.5376044568245124</v>
      </c>
      <c r="Z89" s="165">
        <f t="shared" si="36"/>
        <v>9.3008718313937564E-4</v>
      </c>
    </row>
    <row r="90" spans="1:26" x14ac:dyDescent="0.25">
      <c r="A90" s="162" t="s">
        <v>136</v>
      </c>
      <c r="B90" s="163" t="s">
        <v>136</v>
      </c>
      <c r="C90" s="164">
        <v>385</v>
      </c>
      <c r="D90" s="164">
        <v>658</v>
      </c>
      <c r="E90" s="164">
        <v>678</v>
      </c>
      <c r="F90" s="164">
        <v>636</v>
      </c>
      <c r="G90" s="164">
        <v>767</v>
      </c>
      <c r="H90" s="165">
        <f t="shared" si="37"/>
        <v>0.20597484276729561</v>
      </c>
      <c r="I90" s="179">
        <f t="shared" si="35"/>
        <v>0.99220779220779232</v>
      </c>
      <c r="J90" s="165">
        <f t="shared" si="38"/>
        <v>1.0090618224682679E-3</v>
      </c>
      <c r="K90" s="164">
        <v>947</v>
      </c>
      <c r="L90" s="164">
        <v>3040</v>
      </c>
      <c r="M90" s="164">
        <v>3739</v>
      </c>
      <c r="N90" s="164">
        <v>4092</v>
      </c>
      <c r="O90" s="164">
        <v>2810</v>
      </c>
      <c r="P90" s="165">
        <f t="shared" si="39"/>
        <v>-0.31329423264907141</v>
      </c>
      <c r="Q90" s="179">
        <f t="shared" si="42"/>
        <v>1.9672650475184792</v>
      </c>
      <c r="R90" s="165">
        <f t="shared" si="40"/>
        <v>8.1716048653909855E-4</v>
      </c>
      <c r="S90" s="164">
        <v>1332</v>
      </c>
      <c r="T90" s="164">
        <v>3698</v>
      </c>
      <c r="U90" s="164">
        <v>4417</v>
      </c>
      <c r="V90" s="164">
        <v>4728</v>
      </c>
      <c r="W90" s="164">
        <v>3577</v>
      </c>
      <c r="X90" s="165">
        <f t="shared" si="41"/>
        <v>-0.24344331641285955</v>
      </c>
      <c r="Y90" s="179">
        <f t="shared" si="43"/>
        <v>1.6854354354354353</v>
      </c>
      <c r="Z90" s="165">
        <f t="shared" si="36"/>
        <v>1.0802511406591171E-3</v>
      </c>
    </row>
    <row r="91" spans="1:26" x14ac:dyDescent="0.25">
      <c r="A91" s="167" t="s">
        <v>150</v>
      </c>
      <c r="B91" s="168" t="s">
        <v>150</v>
      </c>
      <c r="C91" s="169">
        <f>C83-SUM(C84:C90)</f>
        <v>13273</v>
      </c>
      <c r="D91" s="169">
        <f>D83-SUM(D84:D90)</f>
        <v>21554</v>
      </c>
      <c r="E91" s="169">
        <f>E83-SUM(E84:E90)</f>
        <v>23706</v>
      </c>
      <c r="F91" s="169">
        <f>F83-SUM(F84:F90)</f>
        <v>28432</v>
      </c>
      <c r="G91" s="169">
        <f>G83-SUM(G84:G90)</f>
        <v>29649</v>
      </c>
      <c r="H91" s="170">
        <f t="shared" si="37"/>
        <v>4.2803882948790006E-2</v>
      </c>
      <c r="I91" s="180">
        <f t="shared" si="35"/>
        <v>1.233782867475326</v>
      </c>
      <c r="J91" s="170">
        <f t="shared" si="38"/>
        <v>3.90060938388027E-2</v>
      </c>
      <c r="K91" s="169">
        <f>K83-SUM(K84:K90)</f>
        <v>37928</v>
      </c>
      <c r="L91" s="169">
        <f>L83-SUM(L84:L90)</f>
        <v>70455</v>
      </c>
      <c r="M91" s="169">
        <f>M83-SUM(M84:M90)</f>
        <v>95719</v>
      </c>
      <c r="N91" s="169">
        <f>N83-SUM(N84:N90)</f>
        <v>112723</v>
      </c>
      <c r="O91" s="169">
        <f>O83-SUM(O84:O90)</f>
        <v>112324</v>
      </c>
      <c r="P91" s="170">
        <f t="shared" si="39"/>
        <v>-3.5396502931965834E-3</v>
      </c>
      <c r="Q91" s="180">
        <f t="shared" si="42"/>
        <v>1.9615060113900022</v>
      </c>
      <c r="R91" s="170">
        <f t="shared" si="40"/>
        <v>3.2664318323849716E-2</v>
      </c>
      <c r="S91" s="169">
        <f>S83-SUM(S84:S90)</f>
        <v>51201</v>
      </c>
      <c r="T91" s="169">
        <f>T83-SUM(T84:T90)</f>
        <v>92009</v>
      </c>
      <c r="U91" s="169">
        <f>U83-SUM(U84:U90)</f>
        <v>119425</v>
      </c>
      <c r="V91" s="169">
        <f>V83-SUM(V84:V90)</f>
        <v>141155</v>
      </c>
      <c r="W91" s="169">
        <f>W83-SUM(W84:W90)</f>
        <v>141973</v>
      </c>
      <c r="X91" s="170">
        <f t="shared" si="41"/>
        <v>5.7950479968829072E-3</v>
      </c>
      <c r="Y91" s="180">
        <f t="shared" si="43"/>
        <v>1.7728559989062713</v>
      </c>
      <c r="Z91" s="170">
        <f t="shared" si="36"/>
        <v>2.9207378871001822E-2</v>
      </c>
    </row>
    <row r="92" spans="1:26" x14ac:dyDescent="0.25">
      <c r="A92" s="1"/>
      <c r="B92" s="155" t="s">
        <v>51</v>
      </c>
      <c r="C92" s="153"/>
      <c r="D92" s="153"/>
      <c r="E92" s="153"/>
      <c r="F92" s="153"/>
      <c r="G92" s="153"/>
      <c r="H92" s="153"/>
      <c r="I92" s="153"/>
      <c r="J92" s="153"/>
      <c r="K92" s="153"/>
      <c r="L92" s="153"/>
      <c r="M92" s="153"/>
      <c r="N92" s="153"/>
      <c r="O92" s="153"/>
      <c r="P92" s="153"/>
      <c r="Q92" s="153"/>
      <c r="R92" s="153"/>
      <c r="S92" s="153"/>
      <c r="T92" s="153"/>
      <c r="U92" s="153"/>
      <c r="V92" s="153"/>
      <c r="W92" s="153"/>
      <c r="X92" s="153"/>
      <c r="Y92" s="153"/>
      <c r="Z92" s="153"/>
    </row>
    <row r="93" spans="1:26" x14ac:dyDescent="0.25">
      <c r="A93" s="1" t="s">
        <v>0</v>
      </c>
      <c r="B93" s="156" t="s">
        <v>73</v>
      </c>
      <c r="C93" s="176">
        <f>C94+C97</f>
        <v>0</v>
      </c>
      <c r="D93" s="176">
        <f>D94+D97</f>
        <v>5131</v>
      </c>
      <c r="E93" s="176">
        <f>E94+E97</f>
        <v>7607</v>
      </c>
      <c r="F93" s="176">
        <f>F94+F97</f>
        <v>7923</v>
      </c>
      <c r="G93" s="176">
        <f>G94+G97</f>
        <v>8662</v>
      </c>
      <c r="H93" s="177">
        <f>IFERROR(G93/F93-1,"-")</f>
        <v>9.3272750220875889E-2</v>
      </c>
      <c r="I93" s="177" t="str">
        <f t="shared" si="35"/>
        <v>-</v>
      </c>
      <c r="J93" s="177">
        <f>G93/G$9</f>
        <v>1.139568905634959E-2</v>
      </c>
      <c r="K93" s="176">
        <f>K94+K97</f>
        <v>0</v>
      </c>
      <c r="L93" s="176">
        <f>L94+L97</f>
        <v>46354</v>
      </c>
      <c r="M93" s="176">
        <f>M94+M97</f>
        <v>50550</v>
      </c>
      <c r="N93" s="176">
        <f>N94+N97</f>
        <v>49465</v>
      </c>
      <c r="O93" s="176">
        <f>O94+O97</f>
        <v>47923</v>
      </c>
      <c r="P93" s="177">
        <f>IFERROR(O93/N93-1,"-")</f>
        <v>-3.1173557060547807E-2</v>
      </c>
      <c r="Q93" s="177" t="str">
        <f t="shared" si="42"/>
        <v>-</v>
      </c>
      <c r="R93" s="177">
        <f>O93/O$9</f>
        <v>1.3936221351036733E-2</v>
      </c>
      <c r="S93" s="176">
        <f>S94+S97</f>
        <v>33444</v>
      </c>
      <c r="T93" s="176">
        <f>T94+T97</f>
        <v>51485</v>
      </c>
      <c r="U93" s="176">
        <f>U94+U97</f>
        <v>58157</v>
      </c>
      <c r="V93" s="176">
        <f>V94+V97</f>
        <v>57388</v>
      </c>
      <c r="W93" s="176">
        <f>W94+W97</f>
        <v>56585</v>
      </c>
      <c r="X93" s="177">
        <f>IFERROR(W93/V93-1,"-")</f>
        <v>-1.3992472293859359E-2</v>
      </c>
      <c r="Y93" s="177">
        <f t="shared" si="43"/>
        <v>0.69193278315990914</v>
      </c>
      <c r="Z93" s="177">
        <f t="shared" ref="Z93:Z105" si="44">U93/U$9</f>
        <v>1.4223265924227365E-2</v>
      </c>
    </row>
    <row r="94" spans="1:26" x14ac:dyDescent="0.25">
      <c r="A94" s="1" t="s">
        <v>101</v>
      </c>
      <c r="B94" s="159" t="s">
        <v>102</v>
      </c>
      <c r="C94" s="160">
        <v>0</v>
      </c>
      <c r="D94" s="160">
        <v>3937</v>
      </c>
      <c r="E94" s="160">
        <v>5346</v>
      </c>
      <c r="F94" s="160">
        <v>5742</v>
      </c>
      <c r="G94" s="160">
        <v>6217</v>
      </c>
      <c r="H94" s="161">
        <f>IFERROR(G94/F94-1,"-")</f>
        <v>8.2723789620341437E-2</v>
      </c>
      <c r="I94" s="178" t="str">
        <f t="shared" si="35"/>
        <v>-</v>
      </c>
      <c r="J94" s="161">
        <f>G94/G$9</f>
        <v>8.179057823057655E-3</v>
      </c>
      <c r="K94" s="160">
        <v>0</v>
      </c>
      <c r="L94" s="160">
        <v>29872</v>
      </c>
      <c r="M94" s="160">
        <v>32376</v>
      </c>
      <c r="N94" s="160">
        <v>30079</v>
      </c>
      <c r="O94" s="160">
        <v>29348</v>
      </c>
      <c r="P94" s="161">
        <f>IFERROR(O94/N94-1,"-")</f>
        <v>-2.4302669636623531E-2</v>
      </c>
      <c r="Q94" s="178" t="str">
        <f t="shared" si="42"/>
        <v>-</v>
      </c>
      <c r="R94" s="161">
        <f>O94/O$9</f>
        <v>8.5345288110140437E-3</v>
      </c>
      <c r="S94" s="160">
        <v>21732</v>
      </c>
      <c r="T94" s="160">
        <v>33809</v>
      </c>
      <c r="U94" s="160">
        <v>37722</v>
      </c>
      <c r="V94" s="160">
        <v>35821</v>
      </c>
      <c r="W94" s="160">
        <v>35565</v>
      </c>
      <c r="X94" s="161">
        <f>IFERROR(W94/V94-1,"-")</f>
        <v>-7.146645822282971E-3</v>
      </c>
      <c r="Y94" s="178">
        <f t="shared" si="43"/>
        <v>0.63652678078409708</v>
      </c>
      <c r="Z94" s="161">
        <f t="shared" si="44"/>
        <v>9.2255452859278282E-3</v>
      </c>
    </row>
    <row r="95" spans="1:26" x14ac:dyDescent="0.25">
      <c r="A95" s="162" t="s">
        <v>108</v>
      </c>
      <c r="B95" s="163" t="s">
        <v>108</v>
      </c>
      <c r="C95" s="164">
        <v>0</v>
      </c>
      <c r="D95" s="164">
        <v>2928</v>
      </c>
      <c r="E95" s="164">
        <v>3814</v>
      </c>
      <c r="F95" s="164">
        <v>4202</v>
      </c>
      <c r="G95" s="164">
        <v>4481</v>
      </c>
      <c r="H95" s="165">
        <f>IFERROR(G95/F95-1,"-")</f>
        <v>6.6396953831508787E-2</v>
      </c>
      <c r="I95" s="179" t="str">
        <f t="shared" si="35"/>
        <v>-</v>
      </c>
      <c r="J95" s="165">
        <f>G95/G$9</f>
        <v>5.8951838676405584E-3</v>
      </c>
      <c r="K95" s="164">
        <v>0</v>
      </c>
      <c r="L95" s="164">
        <v>13361</v>
      </c>
      <c r="M95" s="164">
        <v>8210</v>
      </c>
      <c r="N95" s="164">
        <v>7675</v>
      </c>
      <c r="O95" s="164">
        <v>9206</v>
      </c>
      <c r="P95" s="165">
        <f>IFERROR(O95/N95-1,"-")</f>
        <v>0.19947882736156353</v>
      </c>
      <c r="Q95" s="179" t="str">
        <f t="shared" si="42"/>
        <v>-</v>
      </c>
      <c r="R95" s="165">
        <f>O95/O$9</f>
        <v>2.6771457078572742E-3</v>
      </c>
      <c r="S95" s="164">
        <v>11001</v>
      </c>
      <c r="T95" s="164">
        <v>16289</v>
      </c>
      <c r="U95" s="164">
        <v>12024</v>
      </c>
      <c r="V95" s="164">
        <v>11877</v>
      </c>
      <c r="W95" s="164">
        <v>13687</v>
      </c>
      <c r="X95" s="165">
        <f>IFERROR(W95/V95-1,"-")</f>
        <v>0.15239538604024583</v>
      </c>
      <c r="Y95" s="179">
        <f t="shared" si="43"/>
        <v>0.24415962185255879</v>
      </c>
      <c r="Z95" s="165">
        <f t="shared" si="44"/>
        <v>2.9406700736439267E-3</v>
      </c>
    </row>
    <row r="96" spans="1:26" x14ac:dyDescent="0.25">
      <c r="A96" s="162" t="s">
        <v>105</v>
      </c>
      <c r="B96" s="163" t="s">
        <v>105</v>
      </c>
      <c r="C96" s="164">
        <v>0</v>
      </c>
      <c r="D96" s="164">
        <v>1009</v>
      </c>
      <c r="E96" s="164">
        <v>1532</v>
      </c>
      <c r="F96" s="164">
        <v>1540</v>
      </c>
      <c r="G96" s="164">
        <v>1736</v>
      </c>
      <c r="H96" s="165">
        <f>IFERROR(G96/F96-1,"-")</f>
        <v>0.1272727272727272</v>
      </c>
      <c r="I96" s="179" t="str">
        <f t="shared" si="35"/>
        <v>-</v>
      </c>
      <c r="J96" s="165">
        <f>G96/G$9</f>
        <v>2.2838739554170966E-3</v>
      </c>
      <c r="K96" s="164">
        <v>0</v>
      </c>
      <c r="L96" s="164">
        <v>16511</v>
      </c>
      <c r="M96" s="164">
        <v>24166</v>
      </c>
      <c r="N96" s="164">
        <v>22404</v>
      </c>
      <c r="O96" s="164">
        <v>20142</v>
      </c>
      <c r="P96" s="165">
        <f>IFERROR(O96/N96-1,"-")</f>
        <v>-0.10096411355115154</v>
      </c>
      <c r="Q96" s="179" t="str">
        <f t="shared" si="42"/>
        <v>-</v>
      </c>
      <c r="R96" s="165">
        <f>O96/O$9</f>
        <v>5.8573831031567694E-3</v>
      </c>
      <c r="S96" s="164">
        <v>10731</v>
      </c>
      <c r="T96" s="164">
        <v>17520</v>
      </c>
      <c r="U96" s="164">
        <v>25698</v>
      </c>
      <c r="V96" s="164">
        <v>23944</v>
      </c>
      <c r="W96" s="164">
        <v>21878</v>
      </c>
      <c r="X96" s="165">
        <f>IFERROR(W96/V96-1,"-")</f>
        <v>-8.6284664216505158E-2</v>
      </c>
      <c r="Y96" s="179">
        <f t="shared" si="43"/>
        <v>1.0387661914080701</v>
      </c>
      <c r="Z96" s="165">
        <f t="shared" si="44"/>
        <v>6.2848752122839011E-3</v>
      </c>
    </row>
    <row r="97" spans="1:26" x14ac:dyDescent="0.25">
      <c r="A97" s="1" t="s">
        <v>151</v>
      </c>
      <c r="B97" s="159" t="s">
        <v>112</v>
      </c>
      <c r="C97" s="160">
        <v>0</v>
      </c>
      <c r="D97" s="160">
        <v>1194</v>
      </c>
      <c r="E97" s="160">
        <v>2261</v>
      </c>
      <c r="F97" s="160">
        <v>2181</v>
      </c>
      <c r="G97" s="160">
        <v>2445</v>
      </c>
      <c r="H97" s="161">
        <f>IFERROR(G97/F97-1,"-")</f>
        <v>0.12104539202200826</v>
      </c>
      <c r="I97" s="178" t="str">
        <f t="shared" si="35"/>
        <v>-</v>
      </c>
      <c r="J97" s="161">
        <f>G97/G$9</f>
        <v>3.2166312332919359E-3</v>
      </c>
      <c r="K97" s="160">
        <v>0</v>
      </c>
      <c r="L97" s="160">
        <v>16482</v>
      </c>
      <c r="M97" s="160">
        <v>18174</v>
      </c>
      <c r="N97" s="160">
        <v>19386</v>
      </c>
      <c r="O97" s="160">
        <v>18575</v>
      </c>
      <c r="P97" s="161">
        <f>IFERROR(O97/N97-1,"-")</f>
        <v>-4.1834313422057123E-2</v>
      </c>
      <c r="Q97" s="178" t="str">
        <f t="shared" si="42"/>
        <v>-</v>
      </c>
      <c r="R97" s="161">
        <f>O97/O$9</f>
        <v>5.4016925400226885E-3</v>
      </c>
      <c r="S97" s="160">
        <v>11712</v>
      </c>
      <c r="T97" s="160">
        <v>17676</v>
      </c>
      <c r="U97" s="160">
        <v>20435</v>
      </c>
      <c r="V97" s="160">
        <v>21567</v>
      </c>
      <c r="W97" s="160">
        <v>21020</v>
      </c>
      <c r="X97" s="161">
        <f>IFERROR(W97/V97-1,"-")</f>
        <v>-2.5362822831177301E-2</v>
      </c>
      <c r="Y97" s="178">
        <f t="shared" si="43"/>
        <v>0.79474043715846987</v>
      </c>
      <c r="Z97" s="161">
        <f t="shared" si="44"/>
        <v>4.9977206382995371E-3</v>
      </c>
    </row>
    <row r="98" spans="1:26" x14ac:dyDescent="0.25">
      <c r="A98" s="162" t="s">
        <v>115</v>
      </c>
      <c r="B98" s="163" t="s">
        <v>115</v>
      </c>
      <c r="C98" s="164">
        <v>0</v>
      </c>
      <c r="D98" s="164">
        <v>50</v>
      </c>
      <c r="E98" s="164">
        <v>173</v>
      </c>
      <c r="F98" s="164">
        <v>203</v>
      </c>
      <c r="G98" s="164">
        <v>174</v>
      </c>
      <c r="H98" s="165">
        <f t="shared" ref="H98:H105" si="45">IFERROR(G98/F98-1,"-")</f>
        <v>-0.1428571428571429</v>
      </c>
      <c r="I98" s="179" t="str">
        <f t="shared" si="35"/>
        <v>-</v>
      </c>
      <c r="J98" s="165">
        <f t="shared" ref="J98:J105" si="46">G98/G$9</f>
        <v>2.28913633780285E-4</v>
      </c>
      <c r="K98" s="164">
        <v>0</v>
      </c>
      <c r="L98" s="164">
        <v>2353</v>
      </c>
      <c r="M98" s="164">
        <v>2622</v>
      </c>
      <c r="N98" s="164">
        <v>2827</v>
      </c>
      <c r="O98" s="164">
        <v>2377</v>
      </c>
      <c r="P98" s="165">
        <f t="shared" ref="P98:P105" si="47">IFERROR(O98/N98-1,"-")</f>
        <v>-0.15917934205871953</v>
      </c>
      <c r="Q98" s="179" t="str">
        <f t="shared" si="42"/>
        <v>-</v>
      </c>
      <c r="R98" s="165">
        <f t="shared" ref="R98:R105" si="48">O98/O$9</f>
        <v>6.9124216245673926E-4</v>
      </c>
      <c r="S98" s="164">
        <v>921</v>
      </c>
      <c r="T98" s="164">
        <v>2403</v>
      </c>
      <c r="U98" s="164">
        <v>2795</v>
      </c>
      <c r="V98" s="164">
        <v>3030</v>
      </c>
      <c r="W98" s="164">
        <v>2551</v>
      </c>
      <c r="X98" s="165">
        <f t="shared" ref="X98:X105" si="49">IFERROR(W98/V98-1,"-")</f>
        <v>-0.15808580858085808</v>
      </c>
      <c r="Y98" s="179">
        <f t="shared" si="43"/>
        <v>1.769815418023887</v>
      </c>
      <c r="Z98" s="165">
        <f t="shared" si="44"/>
        <v>6.8356394343269914E-4</v>
      </c>
    </row>
    <row r="99" spans="1:26" x14ac:dyDescent="0.25">
      <c r="A99" s="162" t="s">
        <v>118</v>
      </c>
      <c r="B99" s="163" t="s">
        <v>118</v>
      </c>
      <c r="C99" s="164">
        <v>0</v>
      </c>
      <c r="D99" s="164">
        <v>194</v>
      </c>
      <c r="E99" s="164">
        <v>319</v>
      </c>
      <c r="F99" s="164">
        <v>341</v>
      </c>
      <c r="G99" s="164">
        <v>375</v>
      </c>
      <c r="H99" s="165">
        <f t="shared" si="45"/>
        <v>9.9706744868035102E-2</v>
      </c>
      <c r="I99" s="179" t="str">
        <f t="shared" si="35"/>
        <v>-</v>
      </c>
      <c r="J99" s="165">
        <f t="shared" si="46"/>
        <v>4.9334834866440736E-4</v>
      </c>
      <c r="K99" s="164">
        <v>0</v>
      </c>
      <c r="L99" s="164">
        <v>3288</v>
      </c>
      <c r="M99" s="164">
        <v>3495</v>
      </c>
      <c r="N99" s="164">
        <v>3893</v>
      </c>
      <c r="O99" s="164">
        <v>3556</v>
      </c>
      <c r="P99" s="165">
        <f t="shared" si="47"/>
        <v>-8.6565630619059863E-2</v>
      </c>
      <c r="Q99" s="179" t="str">
        <f t="shared" si="42"/>
        <v>-</v>
      </c>
      <c r="R99" s="165">
        <f t="shared" si="48"/>
        <v>1.0341006014708306E-3</v>
      </c>
      <c r="S99" s="164">
        <v>2395</v>
      </c>
      <c r="T99" s="164">
        <v>3482</v>
      </c>
      <c r="U99" s="164">
        <v>3814</v>
      </c>
      <c r="V99" s="164">
        <v>4234</v>
      </c>
      <c r="W99" s="164">
        <v>3931</v>
      </c>
      <c r="X99" s="165">
        <f t="shared" si="49"/>
        <v>-7.1563533301842175E-2</v>
      </c>
      <c r="Y99" s="179">
        <f t="shared" si="43"/>
        <v>0.64133611691022963</v>
      </c>
      <c r="Z99" s="165">
        <f t="shared" si="44"/>
        <v>9.3277741690601598E-4</v>
      </c>
    </row>
    <row r="100" spans="1:26" x14ac:dyDescent="0.25">
      <c r="A100" s="162" t="s">
        <v>121</v>
      </c>
      <c r="B100" s="163" t="s">
        <v>121</v>
      </c>
      <c r="C100" s="164">
        <v>0</v>
      </c>
      <c r="D100" s="164">
        <v>346</v>
      </c>
      <c r="E100" s="164">
        <v>771</v>
      </c>
      <c r="F100" s="164">
        <v>574</v>
      </c>
      <c r="G100" s="164">
        <v>737</v>
      </c>
      <c r="H100" s="165">
        <f t="shared" si="45"/>
        <v>0.28397212543554007</v>
      </c>
      <c r="I100" s="179" t="str">
        <f t="shared" si="35"/>
        <v>-</v>
      </c>
      <c r="J100" s="165">
        <f t="shared" si="46"/>
        <v>9.6959395457511528E-4</v>
      </c>
      <c r="K100" s="164">
        <v>0</v>
      </c>
      <c r="L100" s="164">
        <v>3066</v>
      </c>
      <c r="M100" s="164">
        <v>3114</v>
      </c>
      <c r="N100" s="164">
        <v>3111</v>
      </c>
      <c r="O100" s="164">
        <v>2964</v>
      </c>
      <c r="P100" s="165">
        <f t="shared" si="47"/>
        <v>-4.7251687560269984E-2</v>
      </c>
      <c r="Q100" s="179" t="str">
        <f t="shared" si="42"/>
        <v>-</v>
      </c>
      <c r="R100" s="165">
        <f t="shared" si="48"/>
        <v>8.6194437085476445E-4</v>
      </c>
      <c r="S100" s="164">
        <v>3541</v>
      </c>
      <c r="T100" s="164">
        <v>3412</v>
      </c>
      <c r="U100" s="164">
        <v>3885</v>
      </c>
      <c r="V100" s="164">
        <v>3685</v>
      </c>
      <c r="W100" s="164">
        <v>3701</v>
      </c>
      <c r="X100" s="165">
        <f t="shared" si="49"/>
        <v>4.3419267299864561E-3</v>
      </c>
      <c r="Y100" s="179">
        <f t="shared" si="43"/>
        <v>4.5184975995481436E-2</v>
      </c>
      <c r="Z100" s="165">
        <f t="shared" si="44"/>
        <v>9.5014165303614897E-4</v>
      </c>
    </row>
    <row r="101" spans="1:26" x14ac:dyDescent="0.25">
      <c r="A101" s="162" t="s">
        <v>128</v>
      </c>
      <c r="B101" s="163" t="s">
        <v>128</v>
      </c>
      <c r="C101" s="164">
        <v>0</v>
      </c>
      <c r="D101" s="164">
        <v>32</v>
      </c>
      <c r="E101" s="164">
        <v>58</v>
      </c>
      <c r="F101" s="164">
        <v>90</v>
      </c>
      <c r="G101" s="164">
        <v>62</v>
      </c>
      <c r="H101" s="165">
        <f t="shared" si="45"/>
        <v>-0.31111111111111112</v>
      </c>
      <c r="I101" s="179" t="str">
        <f t="shared" si="35"/>
        <v>-</v>
      </c>
      <c r="J101" s="165">
        <f t="shared" si="46"/>
        <v>8.1566926979182011E-5</v>
      </c>
      <c r="K101" s="164">
        <v>0</v>
      </c>
      <c r="L101" s="164">
        <v>1140</v>
      </c>
      <c r="M101" s="164">
        <v>880</v>
      </c>
      <c r="N101" s="164">
        <v>843</v>
      </c>
      <c r="O101" s="164">
        <v>838</v>
      </c>
      <c r="P101" s="165">
        <f t="shared" si="47"/>
        <v>-5.9311981020165883E-3</v>
      </c>
      <c r="Q101" s="179" t="str">
        <f t="shared" si="42"/>
        <v>-</v>
      </c>
      <c r="R101" s="165">
        <f t="shared" si="48"/>
        <v>2.4369412374368845E-4</v>
      </c>
      <c r="S101" s="164">
        <v>432</v>
      </c>
      <c r="T101" s="164">
        <v>1172</v>
      </c>
      <c r="U101" s="164">
        <v>938</v>
      </c>
      <c r="V101" s="164">
        <v>933</v>
      </c>
      <c r="W101" s="164">
        <v>900</v>
      </c>
      <c r="X101" s="165">
        <f t="shared" si="49"/>
        <v>-3.5369774919614128E-2</v>
      </c>
      <c r="Y101" s="179">
        <f t="shared" si="43"/>
        <v>1.0833333333333335</v>
      </c>
      <c r="Z101" s="165">
        <f t="shared" si="44"/>
        <v>2.2940357028260173E-4</v>
      </c>
    </row>
    <row r="102" spans="1:26" x14ac:dyDescent="0.25">
      <c r="A102" s="162" t="s">
        <v>124</v>
      </c>
      <c r="B102" s="163" t="s">
        <v>124</v>
      </c>
      <c r="C102" s="164">
        <v>0</v>
      </c>
      <c r="D102" s="164">
        <v>15</v>
      </c>
      <c r="E102" s="164">
        <v>87</v>
      </c>
      <c r="F102" s="164">
        <v>64</v>
      </c>
      <c r="G102" s="164">
        <v>78</v>
      </c>
      <c r="H102" s="165">
        <f t="shared" si="45"/>
        <v>0.21875</v>
      </c>
      <c r="I102" s="179" t="str">
        <f t="shared" si="35"/>
        <v>-</v>
      </c>
      <c r="J102" s="165">
        <f t="shared" si="46"/>
        <v>1.0261645652219672E-4</v>
      </c>
      <c r="K102" s="164">
        <v>0</v>
      </c>
      <c r="L102" s="164">
        <v>667</v>
      </c>
      <c r="M102" s="164">
        <v>563</v>
      </c>
      <c r="N102" s="164">
        <v>839</v>
      </c>
      <c r="O102" s="164">
        <v>761</v>
      </c>
      <c r="P102" s="165">
        <f t="shared" si="47"/>
        <v>-9.2967818831942828E-2</v>
      </c>
      <c r="Q102" s="179" t="str">
        <f t="shared" si="42"/>
        <v>-</v>
      </c>
      <c r="R102" s="165">
        <f t="shared" si="48"/>
        <v>2.213021815858555E-4</v>
      </c>
      <c r="S102" s="164">
        <v>507</v>
      </c>
      <c r="T102" s="164">
        <v>682</v>
      </c>
      <c r="U102" s="164">
        <v>650</v>
      </c>
      <c r="V102" s="164">
        <v>903</v>
      </c>
      <c r="W102" s="164">
        <v>839</v>
      </c>
      <c r="X102" s="165">
        <f t="shared" si="49"/>
        <v>-7.0874861572535974E-2</v>
      </c>
      <c r="Y102" s="179">
        <f t="shared" si="43"/>
        <v>0.65483234714003946</v>
      </c>
      <c r="Z102" s="165">
        <f t="shared" si="44"/>
        <v>1.58968358937837E-4</v>
      </c>
    </row>
    <row r="103" spans="1:26" x14ac:dyDescent="0.25">
      <c r="A103" s="162" t="s">
        <v>133</v>
      </c>
      <c r="B103" s="163" t="s">
        <v>133</v>
      </c>
      <c r="C103" s="164">
        <v>0</v>
      </c>
      <c r="D103" s="164">
        <v>10</v>
      </c>
      <c r="E103" s="164">
        <v>22</v>
      </c>
      <c r="F103" s="164">
        <v>28</v>
      </c>
      <c r="G103" s="164">
        <v>12</v>
      </c>
      <c r="H103" s="165">
        <f t="shared" si="45"/>
        <v>-0.5714285714285714</v>
      </c>
      <c r="I103" s="179" t="str">
        <f t="shared" si="35"/>
        <v>-</v>
      </c>
      <c r="J103" s="165">
        <f t="shared" si="46"/>
        <v>1.5787147157261037E-5</v>
      </c>
      <c r="K103" s="164">
        <v>0</v>
      </c>
      <c r="L103" s="164">
        <v>260</v>
      </c>
      <c r="M103" s="164">
        <v>131</v>
      </c>
      <c r="N103" s="164">
        <v>202</v>
      </c>
      <c r="O103" s="164">
        <v>173</v>
      </c>
      <c r="P103" s="165">
        <f t="shared" si="47"/>
        <v>-0.14356435643564358</v>
      </c>
      <c r="Q103" s="179" t="str">
        <f t="shared" si="42"/>
        <v>-</v>
      </c>
      <c r="R103" s="165">
        <f t="shared" si="48"/>
        <v>5.0309168744222082E-5</v>
      </c>
      <c r="S103" s="164">
        <v>105</v>
      </c>
      <c r="T103" s="164">
        <v>270</v>
      </c>
      <c r="U103" s="164">
        <v>153</v>
      </c>
      <c r="V103" s="164">
        <v>230</v>
      </c>
      <c r="W103" s="164">
        <v>185</v>
      </c>
      <c r="X103" s="165">
        <f t="shared" si="49"/>
        <v>-0.19565217391304346</v>
      </c>
      <c r="Y103" s="179">
        <f t="shared" si="43"/>
        <v>0.76190476190476186</v>
      </c>
      <c r="Z103" s="165">
        <f t="shared" si="44"/>
        <v>3.741870602690625E-5</v>
      </c>
    </row>
    <row r="104" spans="1:26" x14ac:dyDescent="0.25">
      <c r="A104" s="162" t="s">
        <v>136</v>
      </c>
      <c r="B104" s="163" t="s">
        <v>136</v>
      </c>
      <c r="C104" s="164">
        <v>0</v>
      </c>
      <c r="D104" s="164">
        <v>11</v>
      </c>
      <c r="E104" s="164">
        <v>10</v>
      </c>
      <c r="F104" s="164">
        <v>25</v>
      </c>
      <c r="G104" s="164">
        <v>8</v>
      </c>
      <c r="H104" s="165">
        <f t="shared" si="45"/>
        <v>-0.67999999999999994</v>
      </c>
      <c r="I104" s="179" t="str">
        <f t="shared" si="35"/>
        <v>-</v>
      </c>
      <c r="J104" s="165">
        <f t="shared" si="46"/>
        <v>1.0524764771507357E-5</v>
      </c>
      <c r="K104" s="164">
        <v>0</v>
      </c>
      <c r="L104" s="164">
        <v>157</v>
      </c>
      <c r="M104" s="164">
        <v>260</v>
      </c>
      <c r="N104" s="164">
        <v>359</v>
      </c>
      <c r="O104" s="164">
        <v>231</v>
      </c>
      <c r="P104" s="165">
        <f t="shared" si="47"/>
        <v>-0.35654596100278546</v>
      </c>
      <c r="Q104" s="179" t="str">
        <f t="shared" si="42"/>
        <v>-</v>
      </c>
      <c r="R104" s="165">
        <f t="shared" si="48"/>
        <v>6.7175826473498844E-5</v>
      </c>
      <c r="S104" s="164">
        <v>96</v>
      </c>
      <c r="T104" s="164">
        <v>168</v>
      </c>
      <c r="U104" s="164">
        <v>270</v>
      </c>
      <c r="V104" s="164">
        <v>384</v>
      </c>
      <c r="W104" s="164">
        <v>239</v>
      </c>
      <c r="X104" s="165">
        <f t="shared" si="49"/>
        <v>-0.37760416666666663</v>
      </c>
      <c r="Y104" s="179">
        <f t="shared" si="43"/>
        <v>1.4895833333333335</v>
      </c>
      <c r="Z104" s="165">
        <f t="shared" si="44"/>
        <v>6.6033010635716913E-5</v>
      </c>
    </row>
    <row r="105" spans="1:26" x14ac:dyDescent="0.25">
      <c r="A105" s="167" t="s">
        <v>150</v>
      </c>
      <c r="B105" s="168" t="s">
        <v>150</v>
      </c>
      <c r="C105" s="169">
        <f>C97-SUM(C98:C104)</f>
        <v>0</v>
      </c>
      <c r="D105" s="169">
        <f>D97-SUM(D98:D104)</f>
        <v>536</v>
      </c>
      <c r="E105" s="169">
        <f>E97-SUM(E98:E104)</f>
        <v>821</v>
      </c>
      <c r="F105" s="169">
        <f>F97-SUM(F98:F104)</f>
        <v>856</v>
      </c>
      <c r="G105" s="169">
        <f>G97-SUM(G98:G104)</f>
        <v>999</v>
      </c>
      <c r="H105" s="170">
        <f t="shared" si="45"/>
        <v>0.1670560747663552</v>
      </c>
      <c r="I105" s="180" t="str">
        <f t="shared" si="35"/>
        <v>-</v>
      </c>
      <c r="J105" s="170">
        <f t="shared" si="46"/>
        <v>1.3142800008419811E-3</v>
      </c>
      <c r="K105" s="169">
        <f>K97-SUM(K98:K104)</f>
        <v>0</v>
      </c>
      <c r="L105" s="169">
        <f>L97-SUM(L98:L104)</f>
        <v>5551</v>
      </c>
      <c r="M105" s="169">
        <f>M97-SUM(M98:M104)</f>
        <v>7109</v>
      </c>
      <c r="N105" s="169">
        <f>N97-SUM(N98:N104)</f>
        <v>7312</v>
      </c>
      <c r="O105" s="169">
        <f>O97-SUM(O98:O104)</f>
        <v>7675</v>
      </c>
      <c r="P105" s="170">
        <f t="shared" si="47"/>
        <v>4.9644420131291112E-2</v>
      </c>
      <c r="Q105" s="180" t="str">
        <f t="shared" si="42"/>
        <v>-</v>
      </c>
      <c r="R105" s="170">
        <f t="shared" si="48"/>
        <v>2.2319241046930894E-3</v>
      </c>
      <c r="S105" s="169">
        <f>S97-SUM(S98:S104)</f>
        <v>3715</v>
      </c>
      <c r="T105" s="169">
        <f>T97-SUM(T98:T104)</f>
        <v>6087</v>
      </c>
      <c r="U105" s="169">
        <f>U97-SUM(U98:U104)</f>
        <v>7930</v>
      </c>
      <c r="V105" s="169">
        <f>V97-SUM(V98:V104)</f>
        <v>8168</v>
      </c>
      <c r="W105" s="169">
        <f>W97-SUM(W98:W104)</f>
        <v>8674</v>
      </c>
      <c r="X105" s="170">
        <f t="shared" si="49"/>
        <v>6.1949069539666946E-2</v>
      </c>
      <c r="Y105" s="180">
        <f t="shared" si="43"/>
        <v>1.3348586810228804</v>
      </c>
      <c r="Z105" s="170">
        <f t="shared" si="44"/>
        <v>1.9394139790416115E-3</v>
      </c>
    </row>
    <row r="106" spans="1:26" x14ac:dyDescent="0.25">
      <c r="A106" s="1"/>
      <c r="B106" s="155" t="s">
        <v>52</v>
      </c>
      <c r="C106" s="153"/>
      <c r="D106" s="153"/>
      <c r="E106" s="153"/>
      <c r="F106" s="153"/>
      <c r="G106" s="153"/>
      <c r="H106" s="153"/>
      <c r="I106" s="153"/>
      <c r="J106" s="153"/>
      <c r="K106" s="153"/>
      <c r="L106" s="153"/>
      <c r="M106" s="153"/>
      <c r="N106" s="153"/>
      <c r="O106" s="153"/>
      <c r="P106" s="153"/>
      <c r="Q106" s="153"/>
      <c r="R106" s="153"/>
      <c r="S106" s="153"/>
      <c r="T106" s="153"/>
      <c r="U106" s="153"/>
      <c r="V106" s="153"/>
      <c r="W106" s="153"/>
      <c r="X106" s="153"/>
      <c r="Y106" s="153"/>
      <c r="Z106" s="153"/>
    </row>
    <row r="107" spans="1:26" x14ac:dyDescent="0.25">
      <c r="A107" s="1" t="s">
        <v>0</v>
      </c>
      <c r="B107" s="156" t="s">
        <v>73</v>
      </c>
      <c r="C107" s="176">
        <f>C108+C111</f>
        <v>0</v>
      </c>
      <c r="D107" s="176">
        <f>D108+D111</f>
        <v>0</v>
      </c>
      <c r="E107" s="176">
        <f>E108+E111</f>
        <v>0</v>
      </c>
      <c r="F107" s="176">
        <f>F108+F111</f>
        <v>0</v>
      </c>
      <c r="G107" s="176">
        <f>G108+G111</f>
        <v>0</v>
      </c>
      <c r="H107" s="177" t="str">
        <f>IFERROR(G107/F107-1,"-")</f>
        <v>-</v>
      </c>
      <c r="I107" s="177" t="str">
        <f t="shared" si="35"/>
        <v>-</v>
      </c>
      <c r="J107" s="177">
        <f>G107/G$9</f>
        <v>0</v>
      </c>
      <c r="K107" s="176">
        <f>K108+K111</f>
        <v>0</v>
      </c>
      <c r="L107" s="176">
        <f>L108+L111</f>
        <v>0</v>
      </c>
      <c r="M107" s="176">
        <f>M108+M111</f>
        <v>0</v>
      </c>
      <c r="N107" s="176">
        <f>N108+N111</f>
        <v>0</v>
      </c>
      <c r="O107" s="176">
        <f>O108+O111</f>
        <v>0</v>
      </c>
      <c r="P107" s="177" t="str">
        <f>IFERROR(O107/N107-1,"-")</f>
        <v>-</v>
      </c>
      <c r="Q107" s="177" t="str">
        <f t="shared" si="42"/>
        <v>-</v>
      </c>
      <c r="R107" s="177">
        <f>O107/O$9</f>
        <v>0</v>
      </c>
      <c r="S107" s="176">
        <f>S108+S111</f>
        <v>95997</v>
      </c>
      <c r="T107" s="176">
        <f>T108+T111</f>
        <v>169794</v>
      </c>
      <c r="U107" s="176">
        <f>U108+U111</f>
        <v>220761</v>
      </c>
      <c r="V107" s="176">
        <f>V108+V111</f>
        <v>207278</v>
      </c>
      <c r="W107" s="176">
        <f>W108+W111</f>
        <v>217984</v>
      </c>
      <c r="X107" s="177">
        <f>IFERROR(W107/V107-1,"-")</f>
        <v>5.1650440471251224E-2</v>
      </c>
      <c r="Y107" s="177">
        <f t="shared" si="43"/>
        <v>1.270737627217517</v>
      </c>
      <c r="Z107" s="177">
        <f t="shared" ref="Z107:Z119" si="50">U107/U$9</f>
        <v>5.3990790596116674E-2</v>
      </c>
    </row>
    <row r="108" spans="1:26" x14ac:dyDescent="0.25">
      <c r="A108" s="1" t="s">
        <v>101</v>
      </c>
      <c r="B108" s="159" t="s">
        <v>102</v>
      </c>
      <c r="C108" s="160">
        <v>0</v>
      </c>
      <c r="D108" s="160">
        <v>0</v>
      </c>
      <c r="E108" s="160">
        <v>0</v>
      </c>
      <c r="F108" s="160">
        <v>0</v>
      </c>
      <c r="G108" s="160">
        <v>0</v>
      </c>
      <c r="H108" s="161" t="str">
        <f>IFERROR(G108/F108-1,"-")</f>
        <v>-</v>
      </c>
      <c r="I108" s="178" t="str">
        <f t="shared" si="35"/>
        <v>-</v>
      </c>
      <c r="J108" s="161">
        <f>G108/G$9</f>
        <v>0</v>
      </c>
      <c r="K108" s="160">
        <v>0</v>
      </c>
      <c r="L108" s="160">
        <v>0</v>
      </c>
      <c r="M108" s="160">
        <v>0</v>
      </c>
      <c r="N108" s="160">
        <v>0</v>
      </c>
      <c r="O108" s="160">
        <v>0</v>
      </c>
      <c r="P108" s="161" t="str">
        <f>IFERROR(O108/N108-1,"-")</f>
        <v>-</v>
      </c>
      <c r="Q108" s="178" t="str">
        <f t="shared" si="42"/>
        <v>-</v>
      </c>
      <c r="R108" s="161">
        <f>O108/O$9</f>
        <v>0</v>
      </c>
      <c r="S108" s="160">
        <v>39659</v>
      </c>
      <c r="T108" s="160">
        <v>41132</v>
      </c>
      <c r="U108" s="160">
        <v>48543</v>
      </c>
      <c r="V108" s="160">
        <v>43479</v>
      </c>
      <c r="W108" s="160">
        <v>46333</v>
      </c>
      <c r="X108" s="161">
        <f>IFERROR(W108/V108-1,"-")</f>
        <v>6.5640884104970265E-2</v>
      </c>
      <c r="Y108" s="178">
        <f t="shared" si="43"/>
        <v>0.16828462644040454</v>
      </c>
      <c r="Z108" s="161">
        <f t="shared" si="50"/>
        <v>1.1872001612183726E-2</v>
      </c>
    </row>
    <row r="109" spans="1:26" x14ac:dyDescent="0.25">
      <c r="A109" s="162" t="s">
        <v>108</v>
      </c>
      <c r="B109" s="163" t="s">
        <v>108</v>
      </c>
      <c r="C109" s="164">
        <v>0</v>
      </c>
      <c r="D109" s="164">
        <v>0</v>
      </c>
      <c r="E109" s="164">
        <v>0</v>
      </c>
      <c r="F109" s="164">
        <v>0</v>
      </c>
      <c r="G109" s="164">
        <v>0</v>
      </c>
      <c r="H109" s="165" t="str">
        <f>IFERROR(G109/F109-1,"-")</f>
        <v>-</v>
      </c>
      <c r="I109" s="179" t="str">
        <f t="shared" si="35"/>
        <v>-</v>
      </c>
      <c r="J109" s="165">
        <f>G109/G$9</f>
        <v>0</v>
      </c>
      <c r="K109" s="164">
        <v>0</v>
      </c>
      <c r="L109" s="164">
        <v>0</v>
      </c>
      <c r="M109" s="164">
        <v>0</v>
      </c>
      <c r="N109" s="164">
        <v>0</v>
      </c>
      <c r="O109" s="164">
        <v>0</v>
      </c>
      <c r="P109" s="165" t="str">
        <f>IFERROR(O109/N109-1,"-")</f>
        <v>-</v>
      </c>
      <c r="Q109" s="179" t="str">
        <f t="shared" si="42"/>
        <v>-</v>
      </c>
      <c r="R109" s="165">
        <f>O109/O$9</f>
        <v>0</v>
      </c>
      <c r="S109" s="164">
        <v>20351</v>
      </c>
      <c r="T109" s="164">
        <v>11031</v>
      </c>
      <c r="U109" s="164">
        <v>14560</v>
      </c>
      <c r="V109" s="164">
        <v>12208</v>
      </c>
      <c r="W109" s="164">
        <v>17174</v>
      </c>
      <c r="X109" s="165">
        <f>IFERROR(W109/V109-1,"-")</f>
        <v>0.40678243774574052</v>
      </c>
      <c r="Y109" s="179">
        <f t="shared" si="43"/>
        <v>-0.15611026485184998</v>
      </c>
      <c r="Z109" s="165">
        <f t="shared" si="50"/>
        <v>3.5608912402075492E-3</v>
      </c>
    </row>
    <row r="110" spans="1:26" x14ac:dyDescent="0.25">
      <c r="A110" s="162" t="s">
        <v>105</v>
      </c>
      <c r="B110" s="163" t="s">
        <v>105</v>
      </c>
      <c r="C110" s="164">
        <v>0</v>
      </c>
      <c r="D110" s="164">
        <v>0</v>
      </c>
      <c r="E110" s="164">
        <v>0</v>
      </c>
      <c r="F110" s="164">
        <v>0</v>
      </c>
      <c r="G110" s="164">
        <v>0</v>
      </c>
      <c r="H110" s="165" t="str">
        <f>IFERROR(G110/F110-1,"-")</f>
        <v>-</v>
      </c>
      <c r="I110" s="179" t="str">
        <f t="shared" si="35"/>
        <v>-</v>
      </c>
      <c r="J110" s="165">
        <f>G110/G$9</f>
        <v>0</v>
      </c>
      <c r="K110" s="164">
        <v>0</v>
      </c>
      <c r="L110" s="164">
        <v>0</v>
      </c>
      <c r="M110" s="164">
        <v>0</v>
      </c>
      <c r="N110" s="164">
        <v>0</v>
      </c>
      <c r="O110" s="164">
        <v>0</v>
      </c>
      <c r="P110" s="165" t="str">
        <f>IFERROR(O110/N110-1,"-")</f>
        <v>-</v>
      </c>
      <c r="Q110" s="179" t="str">
        <f t="shared" si="42"/>
        <v>-</v>
      </c>
      <c r="R110" s="165">
        <f>O110/O$9</f>
        <v>0</v>
      </c>
      <c r="S110" s="164">
        <v>19308</v>
      </c>
      <c r="T110" s="164">
        <v>30101</v>
      </c>
      <c r="U110" s="164">
        <v>33983</v>
      </c>
      <c r="V110" s="164">
        <v>31271</v>
      </c>
      <c r="W110" s="164">
        <v>29159</v>
      </c>
      <c r="X110" s="165">
        <f>IFERROR(W110/V110-1,"-")</f>
        <v>-6.7538614051357526E-2</v>
      </c>
      <c r="Y110" s="179">
        <f t="shared" si="43"/>
        <v>0.51020302465299361</v>
      </c>
      <c r="Z110" s="165">
        <f t="shared" si="50"/>
        <v>8.3111103719761773E-3</v>
      </c>
    </row>
    <row r="111" spans="1:26" x14ac:dyDescent="0.25">
      <c r="A111" s="1" t="s">
        <v>151</v>
      </c>
      <c r="B111" s="159" t="s">
        <v>112</v>
      </c>
      <c r="C111" s="160">
        <v>0</v>
      </c>
      <c r="D111" s="160">
        <v>0</v>
      </c>
      <c r="E111" s="160">
        <v>0</v>
      </c>
      <c r="F111" s="160">
        <v>0</v>
      </c>
      <c r="G111" s="160">
        <v>0</v>
      </c>
      <c r="H111" s="161" t="str">
        <f>IFERROR(G111/F111-1,"-")</f>
        <v>-</v>
      </c>
      <c r="I111" s="178" t="str">
        <f t="shared" si="35"/>
        <v>-</v>
      </c>
      <c r="J111" s="161">
        <f>G111/G$9</f>
        <v>0</v>
      </c>
      <c r="K111" s="160">
        <v>0</v>
      </c>
      <c r="L111" s="160">
        <v>0</v>
      </c>
      <c r="M111" s="160">
        <v>0</v>
      </c>
      <c r="N111" s="160">
        <v>0</v>
      </c>
      <c r="O111" s="160">
        <v>0</v>
      </c>
      <c r="P111" s="161" t="str">
        <f>IFERROR(O111/N111-1,"-")</f>
        <v>-</v>
      </c>
      <c r="Q111" s="178" t="str">
        <f t="shared" si="42"/>
        <v>-</v>
      </c>
      <c r="R111" s="161">
        <f>O111/O$9</f>
        <v>0</v>
      </c>
      <c r="S111" s="160">
        <v>56338</v>
      </c>
      <c r="T111" s="160">
        <v>128662</v>
      </c>
      <c r="U111" s="160">
        <v>172218</v>
      </c>
      <c r="V111" s="160">
        <v>163799</v>
      </c>
      <c r="W111" s="160">
        <v>171651</v>
      </c>
      <c r="X111" s="161">
        <f>IFERROR(W111/V111-1,"-")</f>
        <v>4.7936800590968165E-2</v>
      </c>
      <c r="Y111" s="178">
        <f t="shared" si="43"/>
        <v>2.0468067734033868</v>
      </c>
      <c r="Z111" s="161">
        <f t="shared" si="50"/>
        <v>4.2118788983932946E-2</v>
      </c>
    </row>
    <row r="112" spans="1:26" x14ac:dyDescent="0.25">
      <c r="A112" s="162" t="s">
        <v>115</v>
      </c>
      <c r="B112" s="163" t="s">
        <v>115</v>
      </c>
      <c r="C112" s="164">
        <v>0</v>
      </c>
      <c r="D112" s="164">
        <v>0</v>
      </c>
      <c r="E112" s="164">
        <v>0</v>
      </c>
      <c r="F112" s="164">
        <v>0</v>
      </c>
      <c r="G112" s="164">
        <v>0</v>
      </c>
      <c r="H112" s="165" t="str">
        <f t="shared" ref="H112:H119" si="51">IFERROR(G112/F112-1,"-")</f>
        <v>-</v>
      </c>
      <c r="I112" s="179" t="str">
        <f t="shared" si="35"/>
        <v>-</v>
      </c>
      <c r="J112" s="165">
        <f t="shared" ref="J112:J119" si="52">G112/G$9</f>
        <v>0</v>
      </c>
      <c r="K112" s="164">
        <v>0</v>
      </c>
      <c r="L112" s="164">
        <v>0</v>
      </c>
      <c r="M112" s="164">
        <v>0</v>
      </c>
      <c r="N112" s="164">
        <v>0</v>
      </c>
      <c r="O112" s="164">
        <v>0</v>
      </c>
      <c r="P112" s="165" t="str">
        <f t="shared" ref="P112:P119" si="53">IFERROR(O112/N112-1,"-")</f>
        <v>-</v>
      </c>
      <c r="Q112" s="179" t="str">
        <f t="shared" si="42"/>
        <v>-</v>
      </c>
      <c r="R112" s="165">
        <f t="shared" ref="R112:R119" si="54">O112/O$9</f>
        <v>0</v>
      </c>
      <c r="S112" s="164">
        <v>23009</v>
      </c>
      <c r="T112" s="164">
        <v>77726</v>
      </c>
      <c r="U112" s="164">
        <v>113230</v>
      </c>
      <c r="V112" s="164">
        <v>102157</v>
      </c>
      <c r="W112" s="164">
        <v>102824</v>
      </c>
      <c r="X112" s="165">
        <f t="shared" ref="X112:X119" si="55">IFERROR(W112/V112-1,"-")</f>
        <v>6.5291658917157047E-3</v>
      </c>
      <c r="Y112" s="179">
        <f t="shared" si="43"/>
        <v>3.4688600112999257</v>
      </c>
      <c r="Z112" s="165">
        <f t="shared" si="50"/>
        <v>2.7692288126971207E-2</v>
      </c>
    </row>
    <row r="113" spans="1:26" x14ac:dyDescent="0.25">
      <c r="A113" s="162" t="s">
        <v>118</v>
      </c>
      <c r="B113" s="163" t="s">
        <v>118</v>
      </c>
      <c r="C113" s="164">
        <v>0</v>
      </c>
      <c r="D113" s="164">
        <v>0</v>
      </c>
      <c r="E113" s="164">
        <v>0</v>
      </c>
      <c r="F113" s="164">
        <v>0</v>
      </c>
      <c r="G113" s="164">
        <v>0</v>
      </c>
      <c r="H113" s="165" t="str">
        <f t="shared" si="51"/>
        <v>-</v>
      </c>
      <c r="I113" s="179" t="str">
        <f t="shared" si="35"/>
        <v>-</v>
      </c>
      <c r="J113" s="165">
        <f t="shared" si="52"/>
        <v>0</v>
      </c>
      <c r="K113" s="164">
        <v>0</v>
      </c>
      <c r="L113" s="164">
        <v>0</v>
      </c>
      <c r="M113" s="164">
        <v>0</v>
      </c>
      <c r="N113" s="164">
        <v>0</v>
      </c>
      <c r="O113" s="164">
        <v>0</v>
      </c>
      <c r="P113" s="165" t="str">
        <f t="shared" si="53"/>
        <v>-</v>
      </c>
      <c r="Q113" s="179" t="str">
        <f t="shared" si="42"/>
        <v>-</v>
      </c>
      <c r="R113" s="165">
        <f t="shared" si="54"/>
        <v>0</v>
      </c>
      <c r="S113" s="164">
        <v>6854</v>
      </c>
      <c r="T113" s="164">
        <v>5917</v>
      </c>
      <c r="U113" s="164">
        <v>7594</v>
      </c>
      <c r="V113" s="164">
        <v>7215</v>
      </c>
      <c r="W113" s="164">
        <v>8179</v>
      </c>
      <c r="X113" s="165">
        <f t="shared" si="55"/>
        <v>0.13361053361053354</v>
      </c>
      <c r="Y113" s="179">
        <f t="shared" si="43"/>
        <v>0.19331777064487898</v>
      </c>
      <c r="Z113" s="165">
        <f t="shared" si="50"/>
        <v>1.8572395658060527E-3</v>
      </c>
    </row>
    <row r="114" spans="1:26" x14ac:dyDescent="0.25">
      <c r="A114" s="162" t="s">
        <v>121</v>
      </c>
      <c r="B114" s="163" t="s">
        <v>121</v>
      </c>
      <c r="C114" s="164">
        <v>0</v>
      </c>
      <c r="D114" s="164">
        <v>0</v>
      </c>
      <c r="E114" s="164">
        <v>0</v>
      </c>
      <c r="F114" s="164">
        <v>0</v>
      </c>
      <c r="G114" s="164">
        <v>0</v>
      </c>
      <c r="H114" s="165" t="str">
        <f t="shared" si="51"/>
        <v>-</v>
      </c>
      <c r="I114" s="179" t="str">
        <f t="shared" si="35"/>
        <v>-</v>
      </c>
      <c r="J114" s="165">
        <f t="shared" si="52"/>
        <v>0</v>
      </c>
      <c r="K114" s="164">
        <v>0</v>
      </c>
      <c r="L114" s="164">
        <v>0</v>
      </c>
      <c r="M114" s="164">
        <v>0</v>
      </c>
      <c r="N114" s="164">
        <v>0</v>
      </c>
      <c r="O114" s="164">
        <v>0</v>
      </c>
      <c r="P114" s="165" t="str">
        <f t="shared" si="53"/>
        <v>-</v>
      </c>
      <c r="Q114" s="179" t="str">
        <f t="shared" si="42"/>
        <v>-</v>
      </c>
      <c r="R114" s="165">
        <f t="shared" si="54"/>
        <v>0</v>
      </c>
      <c r="S114" s="164">
        <v>6300</v>
      </c>
      <c r="T114" s="164">
        <v>8638</v>
      </c>
      <c r="U114" s="164">
        <v>12056</v>
      </c>
      <c r="V114" s="164">
        <v>12800</v>
      </c>
      <c r="W114" s="164">
        <v>14175</v>
      </c>
      <c r="X114" s="165">
        <f t="shared" si="55"/>
        <v>0.107421875</v>
      </c>
      <c r="Y114" s="179">
        <f t="shared" si="43"/>
        <v>1.25</v>
      </c>
      <c r="Z114" s="165">
        <f t="shared" si="50"/>
        <v>2.9484962082377891E-3</v>
      </c>
    </row>
    <row r="115" spans="1:26" x14ac:dyDescent="0.25">
      <c r="A115" s="162" t="s">
        <v>128</v>
      </c>
      <c r="B115" s="163" t="s">
        <v>128</v>
      </c>
      <c r="C115" s="164">
        <v>0</v>
      </c>
      <c r="D115" s="164">
        <v>0</v>
      </c>
      <c r="E115" s="164">
        <v>0</v>
      </c>
      <c r="F115" s="164">
        <v>0</v>
      </c>
      <c r="G115" s="164">
        <v>0</v>
      </c>
      <c r="H115" s="165" t="str">
        <f t="shared" si="51"/>
        <v>-</v>
      </c>
      <c r="I115" s="179" t="str">
        <f t="shared" si="35"/>
        <v>-</v>
      </c>
      <c r="J115" s="165">
        <f t="shared" si="52"/>
        <v>0</v>
      </c>
      <c r="K115" s="164">
        <v>0</v>
      </c>
      <c r="L115" s="164">
        <v>0</v>
      </c>
      <c r="M115" s="164">
        <v>0</v>
      </c>
      <c r="N115" s="164">
        <v>0</v>
      </c>
      <c r="O115" s="164">
        <v>0</v>
      </c>
      <c r="P115" s="165" t="str">
        <f t="shared" si="53"/>
        <v>-</v>
      </c>
      <c r="Q115" s="179" t="str">
        <f t="shared" si="42"/>
        <v>-</v>
      </c>
      <c r="R115" s="165">
        <f t="shared" si="54"/>
        <v>0</v>
      </c>
      <c r="S115" s="164">
        <v>3529</v>
      </c>
      <c r="T115" s="164">
        <v>5894</v>
      </c>
      <c r="U115" s="164">
        <v>6032</v>
      </c>
      <c r="V115" s="164">
        <v>5918</v>
      </c>
      <c r="W115" s="164">
        <v>5786</v>
      </c>
      <c r="X115" s="165">
        <f t="shared" si="55"/>
        <v>-2.2304832713754608E-2</v>
      </c>
      <c r="Y115" s="179">
        <f t="shared" si="43"/>
        <v>0.63955794842731661</v>
      </c>
      <c r="Z115" s="165">
        <f t="shared" si="50"/>
        <v>1.4752263709431274E-3</v>
      </c>
    </row>
    <row r="116" spans="1:26" x14ac:dyDescent="0.25">
      <c r="A116" s="162" t="s">
        <v>124</v>
      </c>
      <c r="B116" s="163" t="s">
        <v>124</v>
      </c>
      <c r="C116" s="164">
        <v>0</v>
      </c>
      <c r="D116" s="164">
        <v>0</v>
      </c>
      <c r="E116" s="164">
        <v>0</v>
      </c>
      <c r="F116" s="164">
        <v>0</v>
      </c>
      <c r="G116" s="164">
        <v>0</v>
      </c>
      <c r="H116" s="165" t="str">
        <f t="shared" si="51"/>
        <v>-</v>
      </c>
      <c r="I116" s="179" t="str">
        <f t="shared" si="35"/>
        <v>-</v>
      </c>
      <c r="J116" s="165">
        <f t="shared" si="52"/>
        <v>0</v>
      </c>
      <c r="K116" s="164">
        <v>0</v>
      </c>
      <c r="L116" s="164">
        <v>0</v>
      </c>
      <c r="M116" s="164">
        <v>0</v>
      </c>
      <c r="N116" s="164">
        <v>0</v>
      </c>
      <c r="O116" s="164">
        <v>0</v>
      </c>
      <c r="P116" s="165" t="str">
        <f t="shared" si="53"/>
        <v>-</v>
      </c>
      <c r="Q116" s="179" t="str">
        <f t="shared" si="42"/>
        <v>-</v>
      </c>
      <c r="R116" s="165">
        <f t="shared" si="54"/>
        <v>0</v>
      </c>
      <c r="S116" s="164">
        <v>4170</v>
      </c>
      <c r="T116" s="164">
        <v>4317</v>
      </c>
      <c r="U116" s="164">
        <v>4916</v>
      </c>
      <c r="V116" s="164">
        <v>4686</v>
      </c>
      <c r="W116" s="164">
        <v>4352</v>
      </c>
      <c r="X116" s="165">
        <f t="shared" si="55"/>
        <v>-7.1276141698676909E-2</v>
      </c>
      <c r="Y116" s="179">
        <f t="shared" si="43"/>
        <v>4.3645083932853712E-2</v>
      </c>
      <c r="Z116" s="165">
        <f t="shared" si="50"/>
        <v>1.2022899269821643E-3</v>
      </c>
    </row>
    <row r="117" spans="1:26" x14ac:dyDescent="0.25">
      <c r="A117" s="162" t="s">
        <v>133</v>
      </c>
      <c r="B117" s="163" t="s">
        <v>133</v>
      </c>
      <c r="C117" s="164">
        <v>0</v>
      </c>
      <c r="D117" s="164">
        <v>0</v>
      </c>
      <c r="E117" s="164">
        <v>0</v>
      </c>
      <c r="F117" s="164">
        <v>0</v>
      </c>
      <c r="G117" s="164">
        <v>0</v>
      </c>
      <c r="H117" s="165" t="str">
        <f t="shared" si="51"/>
        <v>-</v>
      </c>
      <c r="I117" s="179" t="str">
        <f t="shared" si="35"/>
        <v>-</v>
      </c>
      <c r="J117" s="165">
        <f t="shared" si="52"/>
        <v>0</v>
      </c>
      <c r="K117" s="164">
        <v>0</v>
      </c>
      <c r="L117" s="164">
        <v>0</v>
      </c>
      <c r="M117" s="164">
        <v>0</v>
      </c>
      <c r="N117" s="164">
        <v>0</v>
      </c>
      <c r="O117" s="164">
        <v>0</v>
      </c>
      <c r="P117" s="165" t="str">
        <f t="shared" si="53"/>
        <v>-</v>
      </c>
      <c r="Q117" s="179" t="str">
        <f t="shared" si="42"/>
        <v>-</v>
      </c>
      <c r="R117" s="165">
        <f t="shared" si="54"/>
        <v>0</v>
      </c>
      <c r="S117" s="164">
        <v>308</v>
      </c>
      <c r="T117" s="164">
        <v>1123</v>
      </c>
      <c r="U117" s="164">
        <v>1300</v>
      </c>
      <c r="V117" s="164">
        <v>1069</v>
      </c>
      <c r="W117" s="164">
        <v>1258</v>
      </c>
      <c r="X117" s="165">
        <f t="shared" si="55"/>
        <v>0.17680074836295612</v>
      </c>
      <c r="Y117" s="179">
        <f t="shared" si="43"/>
        <v>3.0844155844155843</v>
      </c>
      <c r="Z117" s="165">
        <f t="shared" si="50"/>
        <v>3.17936717875674E-4</v>
      </c>
    </row>
    <row r="118" spans="1:26" x14ac:dyDescent="0.25">
      <c r="A118" s="162" t="s">
        <v>136</v>
      </c>
      <c r="B118" s="163" t="s">
        <v>136</v>
      </c>
      <c r="C118" s="164">
        <v>0</v>
      </c>
      <c r="D118" s="164">
        <v>0</v>
      </c>
      <c r="E118" s="164">
        <v>0</v>
      </c>
      <c r="F118" s="164">
        <v>0</v>
      </c>
      <c r="G118" s="164">
        <v>0</v>
      </c>
      <c r="H118" s="165" t="str">
        <f t="shared" si="51"/>
        <v>-</v>
      </c>
      <c r="I118" s="179" t="str">
        <f t="shared" si="35"/>
        <v>-</v>
      </c>
      <c r="J118" s="165">
        <f t="shared" si="52"/>
        <v>0</v>
      </c>
      <c r="K118" s="164">
        <v>0</v>
      </c>
      <c r="L118" s="164">
        <v>0</v>
      </c>
      <c r="M118" s="164">
        <v>0</v>
      </c>
      <c r="N118" s="164">
        <v>0</v>
      </c>
      <c r="O118" s="164">
        <v>0</v>
      </c>
      <c r="P118" s="165" t="str">
        <f t="shared" si="53"/>
        <v>-</v>
      </c>
      <c r="Q118" s="179" t="str">
        <f t="shared" si="42"/>
        <v>-</v>
      </c>
      <c r="R118" s="165">
        <f t="shared" si="54"/>
        <v>0</v>
      </c>
      <c r="S118" s="164">
        <v>470</v>
      </c>
      <c r="T118" s="164">
        <v>840</v>
      </c>
      <c r="U118" s="164">
        <v>770</v>
      </c>
      <c r="V118" s="164">
        <v>1368</v>
      </c>
      <c r="W118" s="164">
        <v>921</v>
      </c>
      <c r="X118" s="165">
        <f t="shared" si="55"/>
        <v>-0.32675438596491224</v>
      </c>
      <c r="Y118" s="179">
        <f t="shared" si="43"/>
        <v>0.95957446808510638</v>
      </c>
      <c r="Z118" s="165">
        <f t="shared" si="50"/>
        <v>1.883163636648223E-4</v>
      </c>
    </row>
    <row r="119" spans="1:26" x14ac:dyDescent="0.25">
      <c r="A119" s="167" t="s">
        <v>150</v>
      </c>
      <c r="B119" s="168" t="s">
        <v>150</v>
      </c>
      <c r="C119" s="169">
        <f>C111-SUM(C112:C118)</f>
        <v>0</v>
      </c>
      <c r="D119" s="169">
        <f>D111-SUM(D112:D118)</f>
        <v>0</v>
      </c>
      <c r="E119" s="169">
        <f>E111-SUM(E112:E118)</f>
        <v>0</v>
      </c>
      <c r="F119" s="169">
        <f>F111-SUM(F112:F118)</f>
        <v>0</v>
      </c>
      <c r="G119" s="169">
        <f>G111-SUM(G112:G118)</f>
        <v>0</v>
      </c>
      <c r="H119" s="170" t="str">
        <f t="shared" si="51"/>
        <v>-</v>
      </c>
      <c r="I119" s="180" t="str">
        <f t="shared" si="35"/>
        <v>-</v>
      </c>
      <c r="J119" s="170">
        <f t="shared" si="52"/>
        <v>0</v>
      </c>
      <c r="K119" s="169">
        <f>K111-SUM(K112:K118)</f>
        <v>0</v>
      </c>
      <c r="L119" s="169">
        <f>L111-SUM(L112:L118)</f>
        <v>0</v>
      </c>
      <c r="M119" s="169">
        <f>M111-SUM(M112:M118)</f>
        <v>0</v>
      </c>
      <c r="N119" s="169">
        <f>N111-SUM(N112:N118)</f>
        <v>0</v>
      </c>
      <c r="O119" s="169">
        <f>O111-SUM(O112:O118)</f>
        <v>0</v>
      </c>
      <c r="P119" s="170" t="str">
        <f t="shared" si="53"/>
        <v>-</v>
      </c>
      <c r="Q119" s="180" t="str">
        <f t="shared" si="42"/>
        <v>-</v>
      </c>
      <c r="R119" s="170">
        <f t="shared" si="54"/>
        <v>0</v>
      </c>
      <c r="S119" s="169">
        <f>S111-SUM(S112:S118)</f>
        <v>11698</v>
      </c>
      <c r="T119" s="169">
        <f>T111-SUM(T112:T118)</f>
        <v>24207</v>
      </c>
      <c r="U119" s="169">
        <f>U111-SUM(U112:U118)</f>
        <v>26320</v>
      </c>
      <c r="V119" s="169">
        <f>V111-SUM(V112:V118)</f>
        <v>28586</v>
      </c>
      <c r="W119" s="169">
        <f>W111-SUM(W112:W118)</f>
        <v>34156</v>
      </c>
      <c r="X119" s="170">
        <f t="shared" si="55"/>
        <v>0.19485062618064797</v>
      </c>
      <c r="Y119" s="180">
        <f t="shared" si="43"/>
        <v>1.9198153530518036</v>
      </c>
      <c r="Z119" s="170">
        <f t="shared" si="50"/>
        <v>6.4369957034521082E-3</v>
      </c>
    </row>
    <row r="120" spans="1:26" x14ac:dyDescent="0.25">
      <c r="A120" s="1"/>
      <c r="B120" s="155" t="s">
        <v>53</v>
      </c>
      <c r="C120" s="153"/>
      <c r="D120" s="153"/>
      <c r="E120" s="153"/>
      <c r="F120" s="153"/>
      <c r="G120" s="153"/>
      <c r="H120" s="153"/>
      <c r="I120" s="153"/>
      <c r="J120" s="153"/>
      <c r="K120" s="153"/>
      <c r="L120" s="153"/>
      <c r="M120" s="153"/>
      <c r="N120" s="153"/>
      <c r="O120" s="153"/>
      <c r="P120" s="153"/>
      <c r="Q120" s="153"/>
      <c r="R120" s="153"/>
      <c r="S120" s="153"/>
      <c r="T120" s="153"/>
      <c r="U120" s="153"/>
      <c r="V120" s="153"/>
      <c r="W120" s="153"/>
      <c r="X120" s="153"/>
      <c r="Y120" s="153"/>
      <c r="Z120" s="153"/>
    </row>
    <row r="121" spans="1:26" x14ac:dyDescent="0.25">
      <c r="A121" s="1" t="s">
        <v>0</v>
      </c>
      <c r="B121" s="156" t="s">
        <v>73</v>
      </c>
      <c r="C121" s="176">
        <f>C122+C125</f>
        <v>61314</v>
      </c>
      <c r="D121" s="176">
        <f>D122+D125</f>
        <v>93434</v>
      </c>
      <c r="E121" s="176">
        <f>E122+E125</f>
        <v>94365</v>
      </c>
      <c r="F121" s="176">
        <f>F122+F125</f>
        <v>99219</v>
      </c>
      <c r="G121" s="176">
        <f>G122+G125</f>
        <v>96001</v>
      </c>
      <c r="H121" s="177">
        <f>IFERROR(G121/F121-1,"-")</f>
        <v>-3.2433304105060512E-2</v>
      </c>
      <c r="I121" s="177">
        <f t="shared" si="35"/>
        <v>0.56572724010829512</v>
      </c>
      <c r="J121" s="177">
        <f>G121/G$9</f>
        <v>0.12629849285368472</v>
      </c>
      <c r="K121" s="176">
        <f>K122+K125</f>
        <v>102944</v>
      </c>
      <c r="L121" s="176">
        <f>L122+L125</f>
        <v>135697</v>
      </c>
      <c r="M121" s="176">
        <f>M122+M125</f>
        <v>145679</v>
      </c>
      <c r="N121" s="176">
        <f>N122+N125</f>
        <v>151188</v>
      </c>
      <c r="O121" s="176">
        <f>O122+O125</f>
        <v>186600</v>
      </c>
      <c r="P121" s="177">
        <f>IFERROR(O121/N121-1,"-")</f>
        <v>0.23422493848718151</v>
      </c>
      <c r="Q121" s="177">
        <f t="shared" si="42"/>
        <v>0.81263599626981664</v>
      </c>
      <c r="R121" s="177">
        <f>O121/O$9</f>
        <v>5.4264109177293872E-2</v>
      </c>
      <c r="S121" s="176">
        <f>S122+S125</f>
        <v>164258</v>
      </c>
      <c r="T121" s="176">
        <f>T122+T125</f>
        <v>229131</v>
      </c>
      <c r="U121" s="176">
        <f>U122+U125</f>
        <v>240044</v>
      </c>
      <c r="V121" s="176">
        <f>V122+V125</f>
        <v>250407</v>
      </c>
      <c r="W121" s="176">
        <f>W122+W125</f>
        <v>282601</v>
      </c>
      <c r="X121" s="177">
        <f>IFERROR(W121/V121-1,"-")</f>
        <v>0.12856669342310711</v>
      </c>
      <c r="Y121" s="177">
        <f t="shared" si="43"/>
        <v>0.72047023584848224</v>
      </c>
      <c r="Z121" s="177">
        <f t="shared" ref="Z121:Z133" si="56">U121/U$9</f>
        <v>5.8706770389037148E-2</v>
      </c>
    </row>
    <row r="122" spans="1:26" x14ac:dyDescent="0.25">
      <c r="A122" s="1" t="s">
        <v>101</v>
      </c>
      <c r="B122" s="159" t="s">
        <v>102</v>
      </c>
      <c r="C122" s="160">
        <v>32824</v>
      </c>
      <c r="D122" s="160">
        <v>51574</v>
      </c>
      <c r="E122" s="160">
        <v>61454</v>
      </c>
      <c r="F122" s="160">
        <v>66290</v>
      </c>
      <c r="G122" s="160">
        <v>61164</v>
      </c>
      <c r="H122" s="161">
        <f>IFERROR(G122/F122-1,"-")</f>
        <v>-7.732689696786843E-2</v>
      </c>
      <c r="I122" s="178">
        <f t="shared" si="35"/>
        <v>0.8633926395320497</v>
      </c>
      <c r="J122" s="161">
        <f>G122/G$9</f>
        <v>8.0467089060559494E-2</v>
      </c>
      <c r="K122" s="160">
        <v>71733</v>
      </c>
      <c r="L122" s="160">
        <v>83312</v>
      </c>
      <c r="M122" s="160">
        <v>85760</v>
      </c>
      <c r="N122" s="160">
        <v>89698</v>
      </c>
      <c r="O122" s="160">
        <v>117239</v>
      </c>
      <c r="P122" s="161">
        <f>IFERROR(O122/N122-1,"-")</f>
        <v>0.30704140560547621</v>
      </c>
      <c r="Q122" s="178">
        <f t="shared" si="42"/>
        <v>0.63438027128378849</v>
      </c>
      <c r="R122" s="161">
        <f>O122/O$9</f>
        <v>3.4093622164184115E-2</v>
      </c>
      <c r="S122" s="160">
        <v>104557</v>
      </c>
      <c r="T122" s="160">
        <v>134886</v>
      </c>
      <c r="U122" s="160">
        <v>147214</v>
      </c>
      <c r="V122" s="160">
        <v>155988</v>
      </c>
      <c r="W122" s="160">
        <v>178403</v>
      </c>
      <c r="X122" s="161">
        <f>IFERROR(W122/V122-1,"-")</f>
        <v>0.14369695104751656</v>
      </c>
      <c r="Y122" s="178">
        <f t="shared" si="43"/>
        <v>0.7062750461470777</v>
      </c>
      <c r="Z122" s="161">
        <f t="shared" si="56"/>
        <v>3.6003643065653443E-2</v>
      </c>
    </row>
    <row r="123" spans="1:26" x14ac:dyDescent="0.25">
      <c r="A123" s="162" t="s">
        <v>108</v>
      </c>
      <c r="B123" s="163" t="s">
        <v>108</v>
      </c>
      <c r="C123" s="164">
        <v>15693</v>
      </c>
      <c r="D123" s="164">
        <v>29334</v>
      </c>
      <c r="E123" s="164">
        <v>30291</v>
      </c>
      <c r="F123" s="164">
        <v>37901</v>
      </c>
      <c r="G123" s="164">
        <v>37417</v>
      </c>
      <c r="H123" s="165">
        <f>IFERROR(G123/F123-1,"-")</f>
        <v>-1.2770111606553947E-2</v>
      </c>
      <c r="I123" s="179">
        <f t="shared" si="35"/>
        <v>1.3843114764544699</v>
      </c>
      <c r="J123" s="165">
        <f>G123/G$9</f>
        <v>4.9225640431936349E-2</v>
      </c>
      <c r="K123" s="164">
        <v>37554</v>
      </c>
      <c r="L123" s="164">
        <v>40531</v>
      </c>
      <c r="M123" s="164">
        <v>36734</v>
      </c>
      <c r="N123" s="164">
        <v>37287</v>
      </c>
      <c r="O123" s="164">
        <v>56045</v>
      </c>
      <c r="P123" s="165">
        <f>IFERROR(O123/N123-1,"-")</f>
        <v>0.50307077533724898</v>
      </c>
      <c r="Q123" s="179">
        <f t="shared" si="42"/>
        <v>0.49238429994141764</v>
      </c>
      <c r="R123" s="165">
        <f>O123/O$9</f>
        <v>1.6298135042022696E-2</v>
      </c>
      <c r="S123" s="164">
        <v>53247</v>
      </c>
      <c r="T123" s="164">
        <v>69865</v>
      </c>
      <c r="U123" s="164">
        <v>67025</v>
      </c>
      <c r="V123" s="164">
        <v>75188</v>
      </c>
      <c r="W123" s="164">
        <v>93462</v>
      </c>
      <c r="X123" s="165">
        <f>IFERROR(W123/V123-1,"-")</f>
        <v>0.24304410278235888</v>
      </c>
      <c r="Y123" s="179">
        <f t="shared" si="43"/>
        <v>0.75525381711645734</v>
      </c>
      <c r="Z123" s="165">
        <f t="shared" si="56"/>
        <v>1.6392083473551578E-2</v>
      </c>
    </row>
    <row r="124" spans="1:26" x14ac:dyDescent="0.25">
      <c r="A124" s="162" t="s">
        <v>105</v>
      </c>
      <c r="B124" s="163" t="s">
        <v>105</v>
      </c>
      <c r="C124" s="164">
        <v>17131</v>
      </c>
      <c r="D124" s="164">
        <v>22240</v>
      </c>
      <c r="E124" s="164">
        <v>31163</v>
      </c>
      <c r="F124" s="164">
        <v>28389</v>
      </c>
      <c r="G124" s="164">
        <v>23747</v>
      </c>
      <c r="H124" s="165">
        <f>IFERROR(G124/F124-1,"-")</f>
        <v>-0.16351403712705626</v>
      </c>
      <c r="I124" s="179">
        <f t="shared" si="35"/>
        <v>0.38620045531492608</v>
      </c>
      <c r="J124" s="165">
        <f>G124/G$9</f>
        <v>3.1241448628623152E-2</v>
      </c>
      <c r="K124" s="164">
        <v>34179</v>
      </c>
      <c r="L124" s="164">
        <v>42781</v>
      </c>
      <c r="M124" s="164">
        <v>49026</v>
      </c>
      <c r="N124" s="164">
        <v>52411</v>
      </c>
      <c r="O124" s="164">
        <v>61194</v>
      </c>
      <c r="P124" s="165">
        <f>IFERROR(O124/N124-1,"-")</f>
        <v>0.16757932495086902</v>
      </c>
      <c r="Q124" s="179">
        <f t="shared" si="42"/>
        <v>0.79039761256912144</v>
      </c>
      <c r="R124" s="165">
        <f>O124/O$9</f>
        <v>1.7795487122161422E-2</v>
      </c>
      <c r="S124" s="164">
        <v>51310</v>
      </c>
      <c r="T124" s="164">
        <v>65021</v>
      </c>
      <c r="U124" s="164">
        <v>80189</v>
      </c>
      <c r="V124" s="164">
        <v>80800</v>
      </c>
      <c r="W124" s="164">
        <v>84941</v>
      </c>
      <c r="X124" s="165">
        <f>IFERROR(W124/V124-1,"-")</f>
        <v>5.1250000000000018E-2</v>
      </c>
      <c r="Y124" s="179">
        <f t="shared" si="43"/>
        <v>0.65544728123172868</v>
      </c>
      <c r="Z124" s="165">
        <f t="shared" si="56"/>
        <v>1.9611559592101865E-2</v>
      </c>
    </row>
    <row r="125" spans="1:26" x14ac:dyDescent="0.25">
      <c r="A125" s="1" t="s">
        <v>151</v>
      </c>
      <c r="B125" s="159" t="s">
        <v>112</v>
      </c>
      <c r="C125" s="160">
        <v>28490</v>
      </c>
      <c r="D125" s="160">
        <v>41860</v>
      </c>
      <c r="E125" s="160">
        <v>32911</v>
      </c>
      <c r="F125" s="160">
        <v>32929</v>
      </c>
      <c r="G125" s="160">
        <v>34837</v>
      </c>
      <c r="H125" s="161">
        <f>IFERROR(G125/F125-1,"-")</f>
        <v>5.7942846730845154E-2</v>
      </c>
      <c r="I125" s="178">
        <f t="shared" si="35"/>
        <v>0.22277992277992276</v>
      </c>
      <c r="J125" s="161">
        <f>G125/G$9</f>
        <v>4.5831403793125225E-2</v>
      </c>
      <c r="K125" s="160">
        <v>31211</v>
      </c>
      <c r="L125" s="160">
        <v>52385</v>
      </c>
      <c r="M125" s="160">
        <v>59919</v>
      </c>
      <c r="N125" s="160">
        <v>61490</v>
      </c>
      <c r="O125" s="160">
        <v>69361</v>
      </c>
      <c r="P125" s="161">
        <f>IFERROR(O125/N125-1,"-")</f>
        <v>0.12800455358594887</v>
      </c>
      <c r="Q125" s="178">
        <f t="shared" si="42"/>
        <v>1.2223254621767965</v>
      </c>
      <c r="R125" s="161">
        <f>O125/O$9</f>
        <v>2.0170487013109754E-2</v>
      </c>
      <c r="S125" s="160">
        <v>59701</v>
      </c>
      <c r="T125" s="160">
        <v>94245</v>
      </c>
      <c r="U125" s="160">
        <v>92830</v>
      </c>
      <c r="V125" s="160">
        <v>94419</v>
      </c>
      <c r="W125" s="160">
        <v>104198</v>
      </c>
      <c r="X125" s="161">
        <f>IFERROR(W125/V125-1,"-")</f>
        <v>0.10357025598661296</v>
      </c>
      <c r="Y125" s="178">
        <f t="shared" si="43"/>
        <v>0.74533089897991656</v>
      </c>
      <c r="Z125" s="161">
        <f t="shared" si="56"/>
        <v>2.2703127323383709E-2</v>
      </c>
    </row>
    <row r="126" spans="1:26" x14ac:dyDescent="0.25">
      <c r="A126" s="162" t="s">
        <v>115</v>
      </c>
      <c r="B126" s="163" t="s">
        <v>115</v>
      </c>
      <c r="C126" s="164">
        <v>653</v>
      </c>
      <c r="D126" s="164">
        <v>2495</v>
      </c>
      <c r="E126" s="164">
        <v>3075</v>
      </c>
      <c r="F126" s="164">
        <v>2418</v>
      </c>
      <c r="G126" s="164">
        <v>2592</v>
      </c>
      <c r="H126" s="165">
        <f t="shared" ref="H126:H133" si="57">IFERROR(G126/F126-1,"-")</f>
        <v>7.1960297766749282E-2</v>
      </c>
      <c r="I126" s="179">
        <f t="shared" si="35"/>
        <v>2.9693721286370596</v>
      </c>
      <c r="J126" s="165">
        <f t="shared" ref="J126:J133" si="58">G126/G$9</f>
        <v>3.4100237859683836E-3</v>
      </c>
      <c r="K126" s="164">
        <v>2683</v>
      </c>
      <c r="L126" s="164">
        <v>7422</v>
      </c>
      <c r="M126" s="164">
        <v>8579</v>
      </c>
      <c r="N126" s="164">
        <v>8260</v>
      </c>
      <c r="O126" s="164">
        <v>7864</v>
      </c>
      <c r="P126" s="165">
        <f t="shared" ref="P126:P133" si="59">IFERROR(O126/N126-1,"-")</f>
        <v>-4.7941888619854711E-2</v>
      </c>
      <c r="Q126" s="179">
        <f t="shared" si="42"/>
        <v>1.9310473350726798</v>
      </c>
      <c r="R126" s="165">
        <f t="shared" ref="R126:R133" si="60">O126/O$9</f>
        <v>2.2868861445350429E-3</v>
      </c>
      <c r="S126" s="164">
        <v>3336</v>
      </c>
      <c r="T126" s="164">
        <v>9917</v>
      </c>
      <c r="U126" s="164">
        <v>11654</v>
      </c>
      <c r="V126" s="164">
        <v>10678</v>
      </c>
      <c r="W126" s="164">
        <v>10456</v>
      </c>
      <c r="X126" s="165">
        <f t="shared" ref="X126:X133" si="61">IFERROR(W126/V126-1,"-")</f>
        <v>-2.0790410189174047E-2</v>
      </c>
      <c r="Y126" s="179">
        <f t="shared" si="43"/>
        <v>2.1342925659472423</v>
      </c>
      <c r="Z126" s="165">
        <f t="shared" si="56"/>
        <v>2.8501803924023887E-3</v>
      </c>
    </row>
    <row r="127" spans="1:26" x14ac:dyDescent="0.25">
      <c r="A127" s="162" t="s">
        <v>118</v>
      </c>
      <c r="B127" s="163" t="s">
        <v>118</v>
      </c>
      <c r="C127" s="164">
        <v>2401</v>
      </c>
      <c r="D127" s="164">
        <v>4143</v>
      </c>
      <c r="E127" s="164">
        <v>4499</v>
      </c>
      <c r="F127" s="164">
        <v>4518</v>
      </c>
      <c r="G127" s="164">
        <v>5144</v>
      </c>
      <c r="H127" s="165">
        <f t="shared" si="57"/>
        <v>0.13855688357680385</v>
      </c>
      <c r="I127" s="179">
        <f t="shared" si="35"/>
        <v>1.1424406497292794</v>
      </c>
      <c r="J127" s="165">
        <f t="shared" si="58"/>
        <v>6.7674237480792303E-3</v>
      </c>
      <c r="K127" s="164">
        <v>4913</v>
      </c>
      <c r="L127" s="164">
        <v>7118</v>
      </c>
      <c r="M127" s="164">
        <v>8816</v>
      </c>
      <c r="N127" s="164">
        <v>8623</v>
      </c>
      <c r="O127" s="164">
        <v>10273</v>
      </c>
      <c r="P127" s="165">
        <f t="shared" si="59"/>
        <v>0.19134871854343038</v>
      </c>
      <c r="Q127" s="179">
        <f t="shared" si="42"/>
        <v>1.0909831060451864</v>
      </c>
      <c r="R127" s="165">
        <f t="shared" si="60"/>
        <v>2.9874340491872452E-3</v>
      </c>
      <c r="S127" s="164">
        <v>7314</v>
      </c>
      <c r="T127" s="164">
        <v>11261</v>
      </c>
      <c r="U127" s="164">
        <v>13315</v>
      </c>
      <c r="V127" s="164">
        <v>13141</v>
      </c>
      <c r="W127" s="164">
        <v>15417</v>
      </c>
      <c r="X127" s="165">
        <f t="shared" si="61"/>
        <v>0.17319838672855936</v>
      </c>
      <c r="Y127" s="179">
        <f t="shared" si="43"/>
        <v>1.1078753076292043</v>
      </c>
      <c r="Z127" s="165">
        <f t="shared" si="56"/>
        <v>3.2564056911650765E-3</v>
      </c>
    </row>
    <row r="128" spans="1:26" x14ac:dyDescent="0.25">
      <c r="A128" s="162" t="s">
        <v>121</v>
      </c>
      <c r="B128" s="163" t="s">
        <v>121</v>
      </c>
      <c r="C128" s="164">
        <v>2102</v>
      </c>
      <c r="D128" s="164">
        <v>2821</v>
      </c>
      <c r="E128" s="164">
        <v>3024</v>
      </c>
      <c r="F128" s="164">
        <v>2762</v>
      </c>
      <c r="G128" s="164">
        <v>2930</v>
      </c>
      <c r="H128" s="165">
        <f t="shared" si="57"/>
        <v>6.0825488776249159E-2</v>
      </c>
      <c r="I128" s="179">
        <f t="shared" si="35"/>
        <v>0.3939105613701237</v>
      </c>
      <c r="J128" s="165">
        <f t="shared" si="58"/>
        <v>3.8546950975645693E-3</v>
      </c>
      <c r="K128" s="164">
        <v>5032</v>
      </c>
      <c r="L128" s="164">
        <v>5703</v>
      </c>
      <c r="M128" s="164">
        <v>5756</v>
      </c>
      <c r="N128" s="164">
        <v>5825</v>
      </c>
      <c r="O128" s="164">
        <v>6604</v>
      </c>
      <c r="P128" s="165">
        <f t="shared" si="59"/>
        <v>0.13373390557939913</v>
      </c>
      <c r="Q128" s="179">
        <f t="shared" si="42"/>
        <v>0.31240063593004774</v>
      </c>
      <c r="R128" s="165">
        <f t="shared" si="60"/>
        <v>1.9204725455886857E-3</v>
      </c>
      <c r="S128" s="164">
        <v>7134</v>
      </c>
      <c r="T128" s="164">
        <v>8524</v>
      </c>
      <c r="U128" s="164">
        <v>8780</v>
      </c>
      <c r="V128" s="164">
        <v>8587</v>
      </c>
      <c r="W128" s="164">
        <v>9534</v>
      </c>
      <c r="X128" s="165">
        <f t="shared" si="61"/>
        <v>0.11028298590893204</v>
      </c>
      <c r="Y128" s="179">
        <f t="shared" si="43"/>
        <v>0.33641715727502097</v>
      </c>
      <c r="Z128" s="165">
        <f t="shared" si="56"/>
        <v>2.1472956791910905E-3</v>
      </c>
    </row>
    <row r="129" spans="1:26" x14ac:dyDescent="0.25">
      <c r="A129" s="162" t="s">
        <v>128</v>
      </c>
      <c r="B129" s="163" t="s">
        <v>128</v>
      </c>
      <c r="C129" s="164">
        <v>359</v>
      </c>
      <c r="D129" s="164">
        <v>801</v>
      </c>
      <c r="E129" s="164">
        <v>649</v>
      </c>
      <c r="F129" s="164">
        <v>650</v>
      </c>
      <c r="G129" s="164">
        <v>829</v>
      </c>
      <c r="H129" s="165">
        <f t="shared" si="57"/>
        <v>0.27538461538461534</v>
      </c>
      <c r="I129" s="179">
        <f t="shared" si="35"/>
        <v>1.3091922005571033</v>
      </c>
      <c r="J129" s="165">
        <f t="shared" si="58"/>
        <v>1.0906287494474498E-3</v>
      </c>
      <c r="K129" s="164">
        <v>974</v>
      </c>
      <c r="L129" s="164">
        <v>1772</v>
      </c>
      <c r="M129" s="164">
        <v>1988</v>
      </c>
      <c r="N129" s="164">
        <v>1706</v>
      </c>
      <c r="O129" s="164">
        <v>1937</v>
      </c>
      <c r="P129" s="165">
        <f t="shared" si="59"/>
        <v>0.13540445486518182</v>
      </c>
      <c r="Q129" s="179">
        <f t="shared" si="42"/>
        <v>0.98870636550308011</v>
      </c>
      <c r="R129" s="165">
        <f t="shared" si="60"/>
        <v>5.6328820726912233E-4</v>
      </c>
      <c r="S129" s="164">
        <v>1333</v>
      </c>
      <c r="T129" s="164">
        <v>2573</v>
      </c>
      <c r="U129" s="164">
        <v>2637</v>
      </c>
      <c r="V129" s="164">
        <v>2356</v>
      </c>
      <c r="W129" s="164">
        <v>2766</v>
      </c>
      <c r="X129" s="165">
        <f t="shared" si="61"/>
        <v>0.17402376910016981</v>
      </c>
      <c r="Y129" s="179">
        <f t="shared" si="43"/>
        <v>1.075018754688672</v>
      </c>
      <c r="Z129" s="165">
        <f t="shared" si="56"/>
        <v>6.4492240387550187E-4</v>
      </c>
    </row>
    <row r="130" spans="1:26" x14ac:dyDescent="0.25">
      <c r="A130" s="162" t="s">
        <v>124</v>
      </c>
      <c r="B130" s="163" t="s">
        <v>124</v>
      </c>
      <c r="C130" s="164">
        <v>312</v>
      </c>
      <c r="D130" s="164">
        <v>635</v>
      </c>
      <c r="E130" s="164">
        <v>527</v>
      </c>
      <c r="F130" s="164">
        <v>600</v>
      </c>
      <c r="G130" s="164">
        <v>555</v>
      </c>
      <c r="H130" s="165">
        <f t="shared" si="57"/>
        <v>-7.4999999999999956E-2</v>
      </c>
      <c r="I130" s="179">
        <f t="shared" si="35"/>
        <v>0.77884615384615374</v>
      </c>
      <c r="J130" s="165">
        <f t="shared" si="58"/>
        <v>7.3015555602332289E-4</v>
      </c>
      <c r="K130" s="164">
        <v>1045</v>
      </c>
      <c r="L130" s="164">
        <v>1201</v>
      </c>
      <c r="M130" s="164">
        <v>1408</v>
      </c>
      <c r="N130" s="164">
        <v>1497</v>
      </c>
      <c r="O130" s="164">
        <v>1985</v>
      </c>
      <c r="P130" s="165">
        <f t="shared" si="59"/>
        <v>0.32598530394121572</v>
      </c>
      <c r="Q130" s="179">
        <f t="shared" si="42"/>
        <v>0.8995215311004785</v>
      </c>
      <c r="R130" s="165">
        <f t="shared" si="60"/>
        <v>5.7724682056231689E-4</v>
      </c>
      <c r="S130" s="164">
        <v>1357</v>
      </c>
      <c r="T130" s="164">
        <v>1836</v>
      </c>
      <c r="U130" s="164">
        <v>1935</v>
      </c>
      <c r="V130" s="164">
        <v>2097</v>
      </c>
      <c r="W130" s="164">
        <v>2540</v>
      </c>
      <c r="X130" s="165">
        <f t="shared" si="61"/>
        <v>0.21125417262756319</v>
      </c>
      <c r="Y130" s="179">
        <f t="shared" si="43"/>
        <v>0.87177597641857041</v>
      </c>
      <c r="Z130" s="165">
        <f t="shared" si="56"/>
        <v>4.7323657622263789E-4</v>
      </c>
    </row>
    <row r="131" spans="1:26" x14ac:dyDescent="0.25">
      <c r="A131" s="162" t="s">
        <v>133</v>
      </c>
      <c r="B131" s="163" t="s">
        <v>133</v>
      </c>
      <c r="C131" s="164">
        <v>123</v>
      </c>
      <c r="D131" s="164">
        <v>250</v>
      </c>
      <c r="E131" s="164">
        <v>204</v>
      </c>
      <c r="F131" s="164">
        <v>235</v>
      </c>
      <c r="G131" s="164">
        <v>295</v>
      </c>
      <c r="H131" s="165">
        <f t="shared" si="57"/>
        <v>0.25531914893617014</v>
      </c>
      <c r="I131" s="179">
        <f t="shared" si="35"/>
        <v>1.3983739837398375</v>
      </c>
      <c r="J131" s="165">
        <f t="shared" si="58"/>
        <v>3.8810070094933379E-4</v>
      </c>
      <c r="K131" s="164">
        <v>432</v>
      </c>
      <c r="L131" s="164">
        <v>825</v>
      </c>
      <c r="M131" s="164">
        <v>1138</v>
      </c>
      <c r="N131" s="164">
        <v>1099</v>
      </c>
      <c r="O131" s="164">
        <v>833</v>
      </c>
      <c r="P131" s="165">
        <f t="shared" si="59"/>
        <v>-0.2420382165605095</v>
      </c>
      <c r="Q131" s="179">
        <f t="shared" si="42"/>
        <v>0.9282407407407407</v>
      </c>
      <c r="R131" s="165">
        <f t="shared" si="60"/>
        <v>2.4224010152564736E-4</v>
      </c>
      <c r="S131" s="164">
        <v>555</v>
      </c>
      <c r="T131" s="164">
        <v>1075</v>
      </c>
      <c r="U131" s="164">
        <v>1342</v>
      </c>
      <c r="V131" s="164">
        <v>1334</v>
      </c>
      <c r="W131" s="164">
        <v>1128</v>
      </c>
      <c r="X131" s="165">
        <f t="shared" si="61"/>
        <v>-0.15442278860569714</v>
      </c>
      <c r="Y131" s="179">
        <f t="shared" si="43"/>
        <v>1.0324324324324325</v>
      </c>
      <c r="Z131" s="165">
        <f t="shared" si="56"/>
        <v>3.2820851953011888E-4</v>
      </c>
    </row>
    <row r="132" spans="1:26" x14ac:dyDescent="0.25">
      <c r="A132" s="162" t="s">
        <v>136</v>
      </c>
      <c r="B132" s="163" t="s">
        <v>136</v>
      </c>
      <c r="C132" s="164">
        <v>177</v>
      </c>
      <c r="D132" s="164">
        <v>253</v>
      </c>
      <c r="E132" s="164">
        <v>358</v>
      </c>
      <c r="F132" s="164">
        <v>387</v>
      </c>
      <c r="G132" s="164">
        <v>299</v>
      </c>
      <c r="H132" s="165">
        <f t="shared" si="57"/>
        <v>-0.22739018087855301</v>
      </c>
      <c r="I132" s="179">
        <f t="shared" si="35"/>
        <v>0.68926553672316393</v>
      </c>
      <c r="J132" s="165">
        <f t="shared" si="58"/>
        <v>3.9336308333508746E-4</v>
      </c>
      <c r="K132" s="164">
        <v>742</v>
      </c>
      <c r="L132" s="164">
        <v>1632</v>
      </c>
      <c r="M132" s="164">
        <v>2097</v>
      </c>
      <c r="N132" s="164">
        <v>2115</v>
      </c>
      <c r="O132" s="164">
        <v>2068</v>
      </c>
      <c r="P132" s="165">
        <f t="shared" si="59"/>
        <v>-2.2222222222222254E-2</v>
      </c>
      <c r="Q132" s="179">
        <f t="shared" si="42"/>
        <v>1.7870619946091644</v>
      </c>
      <c r="R132" s="165">
        <f t="shared" si="60"/>
        <v>6.0138358938179916E-4</v>
      </c>
      <c r="S132" s="164">
        <v>919</v>
      </c>
      <c r="T132" s="164">
        <v>1885</v>
      </c>
      <c r="U132" s="164">
        <v>2455</v>
      </c>
      <c r="V132" s="164">
        <v>2502</v>
      </c>
      <c r="W132" s="164">
        <v>2367</v>
      </c>
      <c r="X132" s="165">
        <f t="shared" si="61"/>
        <v>-5.3956834532374098E-2</v>
      </c>
      <c r="Y132" s="179">
        <f t="shared" si="43"/>
        <v>1.5756256800870512</v>
      </c>
      <c r="Z132" s="165">
        <f t="shared" si="56"/>
        <v>6.0041126337290749E-4</v>
      </c>
    </row>
    <row r="133" spans="1:26" x14ac:dyDescent="0.25">
      <c r="A133" s="167" t="s">
        <v>150</v>
      </c>
      <c r="B133" s="168" t="s">
        <v>150</v>
      </c>
      <c r="C133" s="169">
        <f>C125-SUM(C126:C132)</f>
        <v>22363</v>
      </c>
      <c r="D133" s="169">
        <f>D125-SUM(D126:D132)</f>
        <v>30462</v>
      </c>
      <c r="E133" s="169">
        <f>E125-SUM(E126:E132)</f>
        <v>20575</v>
      </c>
      <c r="F133" s="169">
        <f>F125-SUM(F126:F132)</f>
        <v>21359</v>
      </c>
      <c r="G133" s="169">
        <f>G125-SUM(G126:G132)</f>
        <v>22193</v>
      </c>
      <c r="H133" s="170">
        <f t="shared" si="57"/>
        <v>3.9046771852614848E-2</v>
      </c>
      <c r="I133" s="180">
        <f t="shared" si="35"/>
        <v>-7.6018423288467529E-3</v>
      </c>
      <c r="J133" s="170">
        <f t="shared" si="58"/>
        <v>2.9197013071757847E-2</v>
      </c>
      <c r="K133" s="169">
        <f>K125-SUM(K126:K132)</f>
        <v>15390</v>
      </c>
      <c r="L133" s="169">
        <f>L125-SUM(L126:L132)</f>
        <v>26712</v>
      </c>
      <c r="M133" s="169">
        <f>M125-SUM(M126:M132)</f>
        <v>30137</v>
      </c>
      <c r="N133" s="169">
        <f>N125-SUM(N126:N132)</f>
        <v>32365</v>
      </c>
      <c r="O133" s="169">
        <f>O125-SUM(O126:O132)</f>
        <v>37797</v>
      </c>
      <c r="P133" s="170">
        <f t="shared" si="59"/>
        <v>0.16783562490344517</v>
      </c>
      <c r="Q133" s="180">
        <f t="shared" si="42"/>
        <v>1.4559454191033137</v>
      </c>
      <c r="R133" s="170">
        <f t="shared" si="60"/>
        <v>1.0991535555059896E-2</v>
      </c>
      <c r="S133" s="169">
        <f>S125-SUM(S126:S132)</f>
        <v>37753</v>
      </c>
      <c r="T133" s="169">
        <f>T125-SUM(T126:T132)</f>
        <v>57174</v>
      </c>
      <c r="U133" s="169">
        <f>U125-SUM(U126:U132)</f>
        <v>50712</v>
      </c>
      <c r="V133" s="169">
        <f>V125-SUM(V126:V132)</f>
        <v>53724</v>
      </c>
      <c r="W133" s="169">
        <f>W125-SUM(W126:W132)</f>
        <v>59990</v>
      </c>
      <c r="X133" s="170">
        <f t="shared" si="61"/>
        <v>0.11663316208770746</v>
      </c>
      <c r="Y133" s="180">
        <f t="shared" si="43"/>
        <v>0.58901279368527004</v>
      </c>
      <c r="Z133" s="170">
        <f t="shared" si="56"/>
        <v>1.2402466797623985E-2</v>
      </c>
    </row>
    <row r="134" spans="1:26" x14ac:dyDescent="0.25">
      <c r="A134" s="1"/>
      <c r="B134" s="155" t="s">
        <v>54</v>
      </c>
      <c r="C134" s="153"/>
      <c r="D134" s="153"/>
      <c r="E134" s="153"/>
      <c r="F134" s="153"/>
      <c r="G134" s="153"/>
      <c r="H134" s="153"/>
      <c r="I134" s="153"/>
      <c r="J134" s="153"/>
      <c r="K134" s="153"/>
      <c r="L134" s="153"/>
      <c r="M134" s="153"/>
      <c r="N134" s="153"/>
      <c r="O134" s="153"/>
      <c r="P134" s="153"/>
      <c r="Q134" s="153"/>
      <c r="R134" s="153"/>
      <c r="S134" s="153"/>
      <c r="T134" s="153"/>
      <c r="U134" s="153"/>
      <c r="V134" s="153"/>
      <c r="W134" s="153"/>
      <c r="X134" s="153"/>
      <c r="Y134" s="153"/>
      <c r="Z134" s="153"/>
    </row>
    <row r="135" spans="1:26" x14ac:dyDescent="0.25">
      <c r="A135" s="1" t="s">
        <v>0</v>
      </c>
      <c r="B135" s="156" t="s">
        <v>73</v>
      </c>
      <c r="C135" s="176">
        <f>C136+C139</f>
        <v>29237</v>
      </c>
      <c r="D135" s="176">
        <f>D136+D139</f>
        <v>47385</v>
      </c>
      <c r="E135" s="176">
        <f>E136+E139</f>
        <v>49008</v>
      </c>
      <c r="F135" s="176">
        <f>F136+F139</f>
        <v>52595</v>
      </c>
      <c r="G135" s="176">
        <f>G136+G139</f>
        <v>50627</v>
      </c>
      <c r="H135" s="177">
        <f>IFERROR(G135/F135-1,"-")</f>
        <v>-3.741800551383212E-2</v>
      </c>
      <c r="I135" s="177">
        <f t="shared" si="35"/>
        <v>0.73160721004207008</v>
      </c>
      <c r="J135" s="177">
        <f>G135/G$9</f>
        <v>6.6604658260887864E-2</v>
      </c>
      <c r="K135" s="176">
        <f>K136+K139</f>
        <v>87353</v>
      </c>
      <c r="L135" s="176">
        <f>L136+L139</f>
        <v>163913</v>
      </c>
      <c r="M135" s="176">
        <f>M136+M139</f>
        <v>182213</v>
      </c>
      <c r="N135" s="176">
        <f>N136+N139</f>
        <v>183875</v>
      </c>
      <c r="O135" s="176">
        <f>O136+O139</f>
        <v>182150</v>
      </c>
      <c r="P135" s="177">
        <f>IFERROR(O135/N135-1,"-")</f>
        <v>-9.3813732154996998E-3</v>
      </c>
      <c r="Q135" s="177">
        <f t="shared" si="42"/>
        <v>1.0852174510320194</v>
      </c>
      <c r="R135" s="177">
        <f>O135/O$9</f>
        <v>5.2970029403237293E-2</v>
      </c>
      <c r="S135" s="176">
        <f>S136+S139</f>
        <v>116590</v>
      </c>
      <c r="T135" s="176">
        <f>T136+T139</f>
        <v>211298</v>
      </c>
      <c r="U135" s="176">
        <f>U136+U139</f>
        <v>231221</v>
      </c>
      <c r="V135" s="176">
        <f>V136+V139</f>
        <v>236470</v>
      </c>
      <c r="W135" s="176">
        <f>W136+W139</f>
        <v>232777</v>
      </c>
      <c r="X135" s="177">
        <f>IFERROR(W135/V135-1,"-")</f>
        <v>-1.5617203027868176E-2</v>
      </c>
      <c r="Y135" s="177">
        <f t="shared" si="43"/>
        <v>0.9965434428338622</v>
      </c>
      <c r="Z135" s="177">
        <f t="shared" ref="Z135:Z147" si="62">U135/U$9</f>
        <v>5.6548958341485558E-2</v>
      </c>
    </row>
    <row r="136" spans="1:26" x14ac:dyDescent="0.25">
      <c r="A136" s="1" t="s">
        <v>101</v>
      </c>
      <c r="B136" s="159" t="s">
        <v>102</v>
      </c>
      <c r="C136" s="160">
        <v>9339</v>
      </c>
      <c r="D136" s="160">
        <v>5486</v>
      </c>
      <c r="E136" s="160">
        <v>7999</v>
      </c>
      <c r="F136" s="160">
        <v>6701</v>
      </c>
      <c r="G136" s="160">
        <v>3206</v>
      </c>
      <c r="H136" s="161">
        <f>IFERROR(G136/F136-1,"-")</f>
        <v>-0.52156394567974929</v>
      </c>
      <c r="I136" s="178">
        <f t="shared" si="35"/>
        <v>-0.65670842702644827</v>
      </c>
      <c r="J136" s="161">
        <f>G136/G$9</f>
        <v>4.2177994821815728E-3</v>
      </c>
      <c r="K136" s="160">
        <v>28431</v>
      </c>
      <c r="L136" s="160">
        <v>15843</v>
      </c>
      <c r="M136" s="160">
        <v>16817</v>
      </c>
      <c r="N136" s="160">
        <v>14783</v>
      </c>
      <c r="O136" s="160">
        <v>20539</v>
      </c>
      <c r="P136" s="161">
        <f>IFERROR(O136/N136-1,"-")</f>
        <v>0.38936616383683953</v>
      </c>
      <c r="Q136" s="178">
        <f t="shared" si="42"/>
        <v>-0.27758432696704305</v>
      </c>
      <c r="R136" s="161">
        <f>O136/O$9</f>
        <v>5.9728324672692328E-3</v>
      </c>
      <c r="S136" s="160">
        <v>37770</v>
      </c>
      <c r="T136" s="160">
        <v>21329</v>
      </c>
      <c r="U136" s="160">
        <v>24816</v>
      </c>
      <c r="V136" s="160">
        <v>21484</v>
      </c>
      <c r="W136" s="160">
        <v>23745</v>
      </c>
      <c r="X136" s="161">
        <f>IFERROR(W136/V136-1,"-")</f>
        <v>0.10524110966300504</v>
      </c>
      <c r="Y136" s="178">
        <f t="shared" si="43"/>
        <v>-0.37132644956314531</v>
      </c>
      <c r="Z136" s="161">
        <f t="shared" si="62"/>
        <v>6.069167377540559E-3</v>
      </c>
    </row>
    <row r="137" spans="1:26" x14ac:dyDescent="0.25">
      <c r="A137" s="162" t="s">
        <v>108</v>
      </c>
      <c r="B137" s="163" t="s">
        <v>108</v>
      </c>
      <c r="C137" s="164">
        <v>9339</v>
      </c>
      <c r="D137" s="164">
        <v>5415</v>
      </c>
      <c r="E137" s="164">
        <v>7999</v>
      </c>
      <c r="F137" s="164">
        <v>6701</v>
      </c>
      <c r="G137" s="164">
        <v>3206</v>
      </c>
      <c r="H137" s="165">
        <f>IFERROR(G137/F137-1,"-")</f>
        <v>-0.52156394567974929</v>
      </c>
      <c r="I137" s="179">
        <f t="shared" si="35"/>
        <v>-0.65670842702644827</v>
      </c>
      <c r="J137" s="165">
        <f>G137/G$9</f>
        <v>4.2177994821815728E-3</v>
      </c>
      <c r="K137" s="164">
        <v>20185</v>
      </c>
      <c r="L137" s="164">
        <v>9264</v>
      </c>
      <c r="M137" s="164">
        <v>8253</v>
      </c>
      <c r="N137" s="164">
        <v>6321</v>
      </c>
      <c r="O137" s="164">
        <v>11324</v>
      </c>
      <c r="P137" s="165">
        <f>IFERROR(O137/N137-1,"-")</f>
        <v>0.79148868849865517</v>
      </c>
      <c r="Q137" s="179">
        <f t="shared" si="42"/>
        <v>-0.43898934852613325</v>
      </c>
      <c r="R137" s="165">
        <f>O137/O$9</f>
        <v>3.2930695194194845E-3</v>
      </c>
      <c r="S137" s="164">
        <v>29524</v>
      </c>
      <c r="T137" s="164">
        <v>14679</v>
      </c>
      <c r="U137" s="164">
        <v>16252</v>
      </c>
      <c r="V137" s="164">
        <v>13022</v>
      </c>
      <c r="W137" s="164">
        <v>14530</v>
      </c>
      <c r="X137" s="165">
        <f>IFERROR(W137/V137-1,"-")</f>
        <v>0.11580402395945333</v>
      </c>
      <c r="Y137" s="179">
        <f t="shared" si="43"/>
        <v>-0.50785801381926565</v>
      </c>
      <c r="Z137" s="165">
        <f t="shared" si="62"/>
        <v>3.974698106858042E-3</v>
      </c>
    </row>
    <row r="138" spans="1:26" x14ac:dyDescent="0.25">
      <c r="A138" s="162" t="s">
        <v>105</v>
      </c>
      <c r="B138" s="163" t="s">
        <v>105</v>
      </c>
      <c r="C138" s="164">
        <v>0</v>
      </c>
      <c r="D138" s="164">
        <v>71</v>
      </c>
      <c r="E138" s="164">
        <v>0</v>
      </c>
      <c r="F138" s="164">
        <v>0</v>
      </c>
      <c r="G138" s="164">
        <v>0</v>
      </c>
      <c r="H138" s="165" t="str">
        <f>IFERROR(G138/F138-1,"-")</f>
        <v>-</v>
      </c>
      <c r="I138" s="179" t="str">
        <f t="shared" ref="I138:I161" si="63">IFERROR(G138/C138-1,"-")</f>
        <v>-</v>
      </c>
      <c r="J138" s="165">
        <f>G138/G$9</f>
        <v>0</v>
      </c>
      <c r="K138" s="164">
        <v>8246</v>
      </c>
      <c r="L138" s="164">
        <v>6579</v>
      </c>
      <c r="M138" s="164">
        <v>8564</v>
      </c>
      <c r="N138" s="164">
        <v>8462</v>
      </c>
      <c r="O138" s="164">
        <v>9215</v>
      </c>
      <c r="P138" s="165">
        <f>IFERROR(O138/N138-1,"-")</f>
        <v>8.8986055306074174E-2</v>
      </c>
      <c r="Q138" s="179">
        <f t="shared" si="42"/>
        <v>0.11751152073732718</v>
      </c>
      <c r="R138" s="165">
        <f>O138/O$9</f>
        <v>2.6797629478497484E-3</v>
      </c>
      <c r="S138" s="164">
        <v>8246</v>
      </c>
      <c r="T138" s="164">
        <v>6650</v>
      </c>
      <c r="U138" s="164">
        <v>8564</v>
      </c>
      <c r="V138" s="164">
        <v>8462</v>
      </c>
      <c r="W138" s="164">
        <v>9215</v>
      </c>
      <c r="X138" s="165">
        <f>IFERROR(W138/V138-1,"-")</f>
        <v>8.8986055306074174E-2</v>
      </c>
      <c r="Y138" s="179">
        <f t="shared" si="43"/>
        <v>0.11751152073732718</v>
      </c>
      <c r="Z138" s="165">
        <f t="shared" si="62"/>
        <v>2.094469270682517E-3</v>
      </c>
    </row>
    <row r="139" spans="1:26" x14ac:dyDescent="0.25">
      <c r="A139" s="1" t="s">
        <v>151</v>
      </c>
      <c r="B139" s="159" t="s">
        <v>112</v>
      </c>
      <c r="C139" s="160">
        <v>19898</v>
      </c>
      <c r="D139" s="160">
        <v>41899</v>
      </c>
      <c r="E139" s="160">
        <v>41009</v>
      </c>
      <c r="F139" s="160">
        <v>45894</v>
      </c>
      <c r="G139" s="160">
        <v>47421</v>
      </c>
      <c r="H139" s="161">
        <f>IFERROR(G139/F139-1,"-")</f>
        <v>3.3272323179500685E-2</v>
      </c>
      <c r="I139" s="178">
        <f t="shared" si="63"/>
        <v>1.3832043421449391</v>
      </c>
      <c r="J139" s="161">
        <f>G139/G$9</f>
        <v>6.2386858778706297E-2</v>
      </c>
      <c r="K139" s="160">
        <v>58922</v>
      </c>
      <c r="L139" s="160">
        <v>148070</v>
      </c>
      <c r="M139" s="160">
        <v>165396</v>
      </c>
      <c r="N139" s="160">
        <v>169092</v>
      </c>
      <c r="O139" s="160">
        <v>161611</v>
      </c>
      <c r="P139" s="161">
        <f>IFERROR(O139/N139-1,"-")</f>
        <v>-4.4242187684810586E-2</v>
      </c>
      <c r="Q139" s="178">
        <f t="shared" si="42"/>
        <v>1.7427955602321714</v>
      </c>
      <c r="R139" s="161">
        <f>O139/O$9</f>
        <v>4.6997196935968058E-2</v>
      </c>
      <c r="S139" s="160">
        <v>78820</v>
      </c>
      <c r="T139" s="160">
        <v>189969</v>
      </c>
      <c r="U139" s="160">
        <v>206405</v>
      </c>
      <c r="V139" s="160">
        <v>214986</v>
      </c>
      <c r="W139" s="160">
        <v>209032</v>
      </c>
      <c r="X139" s="161">
        <f>IFERROR(W139/V139-1,"-")</f>
        <v>-2.7694826639874215E-2</v>
      </c>
      <c r="Y139" s="178">
        <f t="shared" si="43"/>
        <v>1.6520172545039329</v>
      </c>
      <c r="Z139" s="161">
        <f t="shared" si="62"/>
        <v>5.0479790963944997E-2</v>
      </c>
    </row>
    <row r="140" spans="1:26" x14ac:dyDescent="0.25">
      <c r="A140" s="162" t="s">
        <v>115</v>
      </c>
      <c r="B140" s="163" t="s">
        <v>115</v>
      </c>
      <c r="C140" s="164">
        <v>8616</v>
      </c>
      <c r="D140" s="164">
        <v>22074</v>
      </c>
      <c r="E140" s="164">
        <v>20929</v>
      </c>
      <c r="F140" s="164">
        <v>26456</v>
      </c>
      <c r="G140" s="164">
        <v>26749</v>
      </c>
      <c r="H140" s="165">
        <f t="shared" ref="H140:H147" si="64">IFERROR(G140/F140-1,"-")</f>
        <v>1.1074992440278209E-2</v>
      </c>
      <c r="I140" s="179">
        <f t="shared" si="63"/>
        <v>2.1045728876508822</v>
      </c>
      <c r="J140" s="165">
        <f t="shared" ref="J140:J147" si="65">G140/G$9</f>
        <v>3.5190866609131288E-2</v>
      </c>
      <c r="K140" s="164">
        <v>13586</v>
      </c>
      <c r="L140" s="164">
        <v>60071</v>
      </c>
      <c r="M140" s="164">
        <v>68833</v>
      </c>
      <c r="N140" s="164">
        <v>71052</v>
      </c>
      <c r="O140" s="164">
        <v>68646</v>
      </c>
      <c r="P140" s="165">
        <f t="shared" ref="P140:P147" si="66">IFERROR(O140/N140-1,"-")</f>
        <v>-3.3862523222428664E-2</v>
      </c>
      <c r="Q140" s="179">
        <f t="shared" si="42"/>
        <v>4.0527013101722362</v>
      </c>
      <c r="R140" s="165">
        <f t="shared" ref="R140:R147" si="67">O140/O$9</f>
        <v>1.9962561835929878E-2</v>
      </c>
      <c r="S140" s="164">
        <v>22202</v>
      </c>
      <c r="T140" s="164">
        <v>82145</v>
      </c>
      <c r="U140" s="164">
        <v>89762</v>
      </c>
      <c r="V140" s="164">
        <v>97508</v>
      </c>
      <c r="W140" s="164">
        <v>95395</v>
      </c>
      <c r="X140" s="165">
        <f t="shared" ref="X140:X147" si="68">IFERROR(W140/V140-1,"-")</f>
        <v>-2.1670016819132831E-2</v>
      </c>
      <c r="Y140" s="179">
        <f t="shared" si="43"/>
        <v>3.2966849833348348</v>
      </c>
      <c r="Z140" s="165">
        <f t="shared" si="62"/>
        <v>2.1952796669197118E-2</v>
      </c>
    </row>
    <row r="141" spans="1:26" x14ac:dyDescent="0.25">
      <c r="A141" s="162" t="s">
        <v>118</v>
      </c>
      <c r="B141" s="163" t="s">
        <v>118</v>
      </c>
      <c r="C141" s="164">
        <v>1411</v>
      </c>
      <c r="D141" s="164">
        <v>1553</v>
      </c>
      <c r="E141" s="164">
        <v>1880</v>
      </c>
      <c r="F141" s="164">
        <v>1664</v>
      </c>
      <c r="G141" s="164">
        <v>1895</v>
      </c>
      <c r="H141" s="165">
        <f t="shared" si="64"/>
        <v>0.13882211538461542</v>
      </c>
      <c r="I141" s="179">
        <f t="shared" si="63"/>
        <v>0.3430191353649894</v>
      </c>
      <c r="J141" s="165">
        <f t="shared" si="65"/>
        <v>2.4930536552508053E-3</v>
      </c>
      <c r="K141" s="164">
        <v>6291</v>
      </c>
      <c r="L141" s="164">
        <v>11965</v>
      </c>
      <c r="M141" s="164">
        <v>16264</v>
      </c>
      <c r="N141" s="164">
        <v>16937</v>
      </c>
      <c r="O141" s="164">
        <v>16807</v>
      </c>
      <c r="P141" s="165">
        <f t="shared" si="66"/>
        <v>-7.6755033358918423E-3</v>
      </c>
      <c r="Q141" s="179">
        <f t="shared" si="42"/>
        <v>1.6715943411222383</v>
      </c>
      <c r="R141" s="165">
        <f t="shared" si="67"/>
        <v>4.8875502837233556E-3</v>
      </c>
      <c r="S141" s="164">
        <v>7702</v>
      </c>
      <c r="T141" s="164">
        <v>13518</v>
      </c>
      <c r="U141" s="164">
        <v>18144</v>
      </c>
      <c r="V141" s="164">
        <v>18601</v>
      </c>
      <c r="W141" s="164">
        <v>18702</v>
      </c>
      <c r="X141" s="165">
        <f t="shared" si="68"/>
        <v>5.4298156013117271E-3</v>
      </c>
      <c r="Y141" s="179">
        <f t="shared" si="43"/>
        <v>1.4282004674110622</v>
      </c>
      <c r="Z141" s="165">
        <f t="shared" si="62"/>
        <v>4.4374183147201764E-3</v>
      </c>
    </row>
    <row r="142" spans="1:26" x14ac:dyDescent="0.25">
      <c r="A142" s="162" t="s">
        <v>121</v>
      </c>
      <c r="B142" s="163" t="s">
        <v>121</v>
      </c>
      <c r="C142" s="164">
        <v>2188</v>
      </c>
      <c r="D142" s="164">
        <v>5813</v>
      </c>
      <c r="E142" s="164">
        <v>5043</v>
      </c>
      <c r="F142" s="164">
        <v>5027</v>
      </c>
      <c r="G142" s="164">
        <v>5350</v>
      </c>
      <c r="H142" s="165">
        <f t="shared" si="64"/>
        <v>6.4253033618460353E-2</v>
      </c>
      <c r="I142" s="179">
        <f t="shared" si="63"/>
        <v>1.4451553930530165</v>
      </c>
      <c r="J142" s="165">
        <f t="shared" si="65"/>
        <v>7.0384364409455452E-3</v>
      </c>
      <c r="K142" s="164">
        <v>10850</v>
      </c>
      <c r="L142" s="164">
        <v>17158</v>
      </c>
      <c r="M142" s="164">
        <v>16033</v>
      </c>
      <c r="N142" s="164">
        <v>15511</v>
      </c>
      <c r="O142" s="164">
        <v>14187</v>
      </c>
      <c r="P142" s="165">
        <f t="shared" si="66"/>
        <v>-8.5358777641673655E-2</v>
      </c>
      <c r="Q142" s="179">
        <f t="shared" si="42"/>
        <v>0.30755760368663587</v>
      </c>
      <c r="R142" s="165">
        <f t="shared" si="67"/>
        <v>4.1256426414698188E-3</v>
      </c>
      <c r="S142" s="164">
        <v>13038</v>
      </c>
      <c r="T142" s="164">
        <v>22971</v>
      </c>
      <c r="U142" s="164">
        <v>21076</v>
      </c>
      <c r="V142" s="164">
        <v>20538</v>
      </c>
      <c r="W142" s="164">
        <v>19537</v>
      </c>
      <c r="X142" s="165">
        <f t="shared" si="68"/>
        <v>-4.8738922972051846E-2</v>
      </c>
      <c r="Y142" s="179">
        <f t="shared" si="43"/>
        <v>0.49846602239607307</v>
      </c>
      <c r="Z142" s="165">
        <f t="shared" si="62"/>
        <v>5.1544878968828502E-3</v>
      </c>
    </row>
    <row r="143" spans="1:26" x14ac:dyDescent="0.25">
      <c r="A143" s="162" t="s">
        <v>128</v>
      </c>
      <c r="B143" s="163" t="s">
        <v>128</v>
      </c>
      <c r="C143" s="164">
        <v>2549</v>
      </c>
      <c r="D143" s="164">
        <v>4370</v>
      </c>
      <c r="E143" s="164">
        <v>3569</v>
      </c>
      <c r="F143" s="164">
        <v>2063</v>
      </c>
      <c r="G143" s="164">
        <v>1175</v>
      </c>
      <c r="H143" s="165">
        <f t="shared" si="64"/>
        <v>-0.43044110518662138</v>
      </c>
      <c r="I143" s="179">
        <f t="shared" si="63"/>
        <v>-0.53903491565319728</v>
      </c>
      <c r="J143" s="165">
        <f t="shared" si="65"/>
        <v>1.5458248258151429E-3</v>
      </c>
      <c r="K143" s="164">
        <v>1210</v>
      </c>
      <c r="L143" s="164">
        <v>3896</v>
      </c>
      <c r="M143" s="164">
        <v>3830</v>
      </c>
      <c r="N143" s="164">
        <v>3069</v>
      </c>
      <c r="O143" s="164">
        <v>3174</v>
      </c>
      <c r="P143" s="165">
        <f t="shared" si="66"/>
        <v>3.4213098729227731E-2</v>
      </c>
      <c r="Q143" s="179">
        <f t="shared" si="42"/>
        <v>1.6231404958677684</v>
      </c>
      <c r="R143" s="165">
        <f t="shared" si="67"/>
        <v>9.2301330401249062E-4</v>
      </c>
      <c r="S143" s="164">
        <v>3759</v>
      </c>
      <c r="T143" s="164">
        <v>8266</v>
      </c>
      <c r="U143" s="164">
        <v>7399</v>
      </c>
      <c r="V143" s="164">
        <v>5132</v>
      </c>
      <c r="W143" s="164">
        <v>4349</v>
      </c>
      <c r="X143" s="165">
        <f t="shared" si="68"/>
        <v>-0.15257209664848015</v>
      </c>
      <c r="Y143" s="179">
        <f t="shared" si="43"/>
        <v>0.15695663740356469</v>
      </c>
      <c r="Z143" s="165">
        <f t="shared" si="62"/>
        <v>1.8095490581247016E-3</v>
      </c>
    </row>
    <row r="144" spans="1:26" x14ac:dyDescent="0.25">
      <c r="A144" s="162" t="s">
        <v>124</v>
      </c>
      <c r="B144" s="163" t="s">
        <v>124</v>
      </c>
      <c r="C144" s="164">
        <v>902</v>
      </c>
      <c r="D144" s="164">
        <v>435</v>
      </c>
      <c r="E144" s="164">
        <v>1205</v>
      </c>
      <c r="F144" s="164">
        <v>791</v>
      </c>
      <c r="G144" s="164">
        <v>0</v>
      </c>
      <c r="H144" s="165">
        <f t="shared" si="64"/>
        <v>-1</v>
      </c>
      <c r="I144" s="179">
        <f t="shared" si="63"/>
        <v>-1</v>
      </c>
      <c r="J144" s="165">
        <f t="shared" si="65"/>
        <v>0</v>
      </c>
      <c r="K144" s="164">
        <v>1918</v>
      </c>
      <c r="L144" s="164">
        <v>3253</v>
      </c>
      <c r="M144" s="164">
        <v>3513</v>
      </c>
      <c r="N144" s="164">
        <v>3959</v>
      </c>
      <c r="O144" s="164">
        <v>3731</v>
      </c>
      <c r="P144" s="165">
        <f t="shared" si="66"/>
        <v>-5.7590300580954823E-2</v>
      </c>
      <c r="Q144" s="179">
        <f t="shared" si="42"/>
        <v>0.94525547445255476</v>
      </c>
      <c r="R144" s="165">
        <f t="shared" si="67"/>
        <v>1.0849913791022693E-3</v>
      </c>
      <c r="S144" s="164">
        <v>2820</v>
      </c>
      <c r="T144" s="164">
        <v>3688</v>
      </c>
      <c r="U144" s="164">
        <v>4718</v>
      </c>
      <c r="V144" s="164">
        <v>4750</v>
      </c>
      <c r="W144" s="164">
        <v>3731</v>
      </c>
      <c r="X144" s="165">
        <f t="shared" si="68"/>
        <v>-0.21452631578947368</v>
      </c>
      <c r="Y144" s="179">
        <f t="shared" si="43"/>
        <v>0.32304964539007086</v>
      </c>
      <c r="Z144" s="165">
        <f t="shared" si="62"/>
        <v>1.1538657191826386E-3</v>
      </c>
    </row>
    <row r="145" spans="1:26" x14ac:dyDescent="0.25">
      <c r="A145" s="162" t="s">
        <v>133</v>
      </c>
      <c r="B145" s="163" t="s">
        <v>133</v>
      </c>
      <c r="C145" s="164">
        <v>93</v>
      </c>
      <c r="D145" s="164">
        <v>79</v>
      </c>
      <c r="E145" s="164">
        <v>139</v>
      </c>
      <c r="F145" s="164">
        <v>6</v>
      </c>
      <c r="G145" s="164">
        <v>0</v>
      </c>
      <c r="H145" s="165">
        <f t="shared" si="64"/>
        <v>-1</v>
      </c>
      <c r="I145" s="179">
        <f t="shared" si="63"/>
        <v>-1</v>
      </c>
      <c r="J145" s="165">
        <f t="shared" si="65"/>
        <v>0</v>
      </c>
      <c r="K145" s="164">
        <v>1104</v>
      </c>
      <c r="L145" s="164">
        <v>2826</v>
      </c>
      <c r="M145" s="164">
        <v>3108</v>
      </c>
      <c r="N145" s="164">
        <v>3024</v>
      </c>
      <c r="O145" s="164">
        <v>2935</v>
      </c>
      <c r="P145" s="165">
        <f t="shared" si="66"/>
        <v>-2.9431216931216975E-2</v>
      </c>
      <c r="Q145" s="179">
        <f t="shared" si="42"/>
        <v>1.6585144927536231</v>
      </c>
      <c r="R145" s="165">
        <f t="shared" si="67"/>
        <v>8.5351104199012605E-4</v>
      </c>
      <c r="S145" s="164">
        <v>1197</v>
      </c>
      <c r="T145" s="164">
        <v>2905</v>
      </c>
      <c r="U145" s="164">
        <v>3247</v>
      </c>
      <c r="V145" s="164">
        <v>3030</v>
      </c>
      <c r="W145" s="164">
        <v>2935</v>
      </c>
      <c r="X145" s="165">
        <f t="shared" si="68"/>
        <v>-3.1353135313531344E-2</v>
      </c>
      <c r="Y145" s="179">
        <f t="shared" si="43"/>
        <v>1.4519632414369257</v>
      </c>
      <c r="Z145" s="165">
        <f t="shared" si="62"/>
        <v>7.9410809457101039E-4</v>
      </c>
    </row>
    <row r="146" spans="1:26" x14ac:dyDescent="0.25">
      <c r="A146" s="162" t="s">
        <v>136</v>
      </c>
      <c r="B146" s="163" t="s">
        <v>136</v>
      </c>
      <c r="C146" s="164">
        <v>75</v>
      </c>
      <c r="D146" s="164">
        <v>49</v>
      </c>
      <c r="E146" s="164">
        <v>93</v>
      </c>
      <c r="F146" s="164">
        <v>54</v>
      </c>
      <c r="G146" s="164">
        <v>0</v>
      </c>
      <c r="H146" s="165">
        <f t="shared" si="64"/>
        <v>-1</v>
      </c>
      <c r="I146" s="179">
        <f t="shared" si="63"/>
        <v>-1</v>
      </c>
      <c r="J146" s="165">
        <f t="shared" si="65"/>
        <v>0</v>
      </c>
      <c r="K146" s="164">
        <v>715</v>
      </c>
      <c r="L146" s="164">
        <v>1637</v>
      </c>
      <c r="M146" s="164">
        <v>2213</v>
      </c>
      <c r="N146" s="164">
        <v>2093</v>
      </c>
      <c r="O146" s="164">
        <v>1666</v>
      </c>
      <c r="P146" s="165">
        <f t="shared" si="66"/>
        <v>-0.20401337792642138</v>
      </c>
      <c r="Q146" s="179">
        <f t="shared" si="42"/>
        <v>1.3300699300699299</v>
      </c>
      <c r="R146" s="165">
        <f t="shared" si="67"/>
        <v>4.8448020305129471E-4</v>
      </c>
      <c r="S146" s="164">
        <v>790</v>
      </c>
      <c r="T146" s="164">
        <v>1686</v>
      </c>
      <c r="U146" s="164">
        <v>2306</v>
      </c>
      <c r="V146" s="164">
        <v>2147</v>
      </c>
      <c r="W146" s="164">
        <v>1666</v>
      </c>
      <c r="X146" s="165">
        <f t="shared" si="68"/>
        <v>-0.22403353516534696</v>
      </c>
      <c r="Y146" s="179">
        <f t="shared" si="43"/>
        <v>1.108860759493671</v>
      </c>
      <c r="Z146" s="165">
        <f t="shared" si="62"/>
        <v>5.6397082417023413E-4</v>
      </c>
    </row>
    <row r="147" spans="1:26" x14ac:dyDescent="0.25">
      <c r="A147" s="167" t="s">
        <v>150</v>
      </c>
      <c r="B147" s="168" t="s">
        <v>150</v>
      </c>
      <c r="C147" s="169">
        <f>C139-SUM(C140:C146)</f>
        <v>4064</v>
      </c>
      <c r="D147" s="169">
        <f>D139-SUM(D140:D146)</f>
        <v>7526</v>
      </c>
      <c r="E147" s="169">
        <f>E139-SUM(E140:E146)</f>
        <v>8151</v>
      </c>
      <c r="F147" s="169">
        <f>F139-SUM(F140:F146)</f>
        <v>9833</v>
      </c>
      <c r="G147" s="169">
        <f>G139-SUM(G140:G146)</f>
        <v>12252</v>
      </c>
      <c r="H147" s="170">
        <f t="shared" si="64"/>
        <v>0.24600833926573773</v>
      </c>
      <c r="I147" s="180">
        <f t="shared" si="63"/>
        <v>2.0147637795275593</v>
      </c>
      <c r="J147" s="170">
        <f t="shared" si="65"/>
        <v>1.6118677247563516E-2</v>
      </c>
      <c r="K147" s="169">
        <f>K139-SUM(K140:K146)</f>
        <v>23248</v>
      </c>
      <c r="L147" s="169">
        <f>L139-SUM(L140:L146)</f>
        <v>47264</v>
      </c>
      <c r="M147" s="169">
        <f>M139-SUM(M140:M146)</f>
        <v>51602</v>
      </c>
      <c r="N147" s="169">
        <f>N139-SUM(N140:N146)</f>
        <v>53447</v>
      </c>
      <c r="O147" s="169">
        <f>O139-SUM(O140:O146)</f>
        <v>50465</v>
      </c>
      <c r="P147" s="170">
        <f t="shared" si="66"/>
        <v>-5.5793589911501074E-2</v>
      </c>
      <c r="Q147" s="180">
        <f t="shared" si="42"/>
        <v>1.1707243633860975</v>
      </c>
      <c r="R147" s="170">
        <f t="shared" si="67"/>
        <v>1.4675446246688827E-2</v>
      </c>
      <c r="S147" s="169">
        <f>S139-SUM(S140:S146)</f>
        <v>27312</v>
      </c>
      <c r="T147" s="169">
        <f>T139-SUM(T140:T146)</f>
        <v>54790</v>
      </c>
      <c r="U147" s="169">
        <f>U139-SUM(U140:U146)</f>
        <v>59753</v>
      </c>
      <c r="V147" s="169">
        <f>V139-SUM(V140:V146)</f>
        <v>63280</v>
      </c>
      <c r="W147" s="169">
        <f>W139-SUM(W140:W146)</f>
        <v>62717</v>
      </c>
      <c r="X147" s="170">
        <f t="shared" si="68"/>
        <v>-8.8969658659924233E-3</v>
      </c>
      <c r="Y147" s="180">
        <f t="shared" si="43"/>
        <v>1.2963166373755124</v>
      </c>
      <c r="Z147" s="170">
        <f t="shared" si="62"/>
        <v>1.4613594387096269E-2</v>
      </c>
    </row>
    <row r="148" spans="1:26" x14ac:dyDescent="0.25">
      <c r="A148" s="1"/>
      <c r="B148" s="155" t="s">
        <v>55</v>
      </c>
      <c r="C148" s="153"/>
      <c r="D148" s="153"/>
      <c r="E148" s="153"/>
      <c r="F148" s="153"/>
      <c r="G148" s="153"/>
      <c r="H148" s="153"/>
      <c r="I148" s="153"/>
      <c r="J148" s="153"/>
      <c r="K148" s="153"/>
      <c r="L148" s="153"/>
      <c r="M148" s="153"/>
      <c r="N148" s="153"/>
      <c r="O148" s="153"/>
      <c r="P148" s="153"/>
      <c r="Q148" s="153"/>
      <c r="R148" s="153"/>
      <c r="S148" s="153"/>
      <c r="T148" s="153"/>
      <c r="U148" s="153"/>
      <c r="V148" s="153"/>
      <c r="W148" s="153"/>
      <c r="X148" s="153"/>
      <c r="Y148" s="153"/>
      <c r="Z148" s="153"/>
    </row>
    <row r="149" spans="1:26" x14ac:dyDescent="0.25">
      <c r="A149" s="1" t="s">
        <v>0</v>
      </c>
      <c r="B149" s="156" t="s">
        <v>73</v>
      </c>
      <c r="C149" s="176">
        <f>C150+C153</f>
        <v>55859</v>
      </c>
      <c r="D149" s="176">
        <f>D150+D153</f>
        <v>83622</v>
      </c>
      <c r="E149" s="176">
        <f>E150+E153</f>
        <v>118142</v>
      </c>
      <c r="F149" s="176">
        <f>F150+F153</f>
        <v>118167</v>
      </c>
      <c r="G149" s="176">
        <f>G150+G153</f>
        <v>126543</v>
      </c>
      <c r="H149" s="177">
        <f>IFERROR(G149/F149-1,"-")</f>
        <v>7.0882733758155902E-2</v>
      </c>
      <c r="I149" s="177">
        <f t="shared" si="63"/>
        <v>1.2654003831074672</v>
      </c>
      <c r="J149" s="177">
        <f>G149/G$9</f>
        <v>0.16647941356010693</v>
      </c>
      <c r="K149" s="176">
        <f>K150+K153</f>
        <v>226551</v>
      </c>
      <c r="L149" s="176">
        <f>L150+L153</f>
        <v>383351</v>
      </c>
      <c r="M149" s="176">
        <f>M150+M153</f>
        <v>431804</v>
      </c>
      <c r="N149" s="176">
        <f>N150+N153</f>
        <v>442209</v>
      </c>
      <c r="O149" s="176">
        <f>O150+O153</f>
        <v>398004</v>
      </c>
      <c r="P149" s="177">
        <f>IFERROR(O149/N149-1,"-")</f>
        <v>-9.9964044151068854E-2</v>
      </c>
      <c r="Q149" s="177">
        <f t="shared" si="42"/>
        <v>0.75679648291113266</v>
      </c>
      <c r="R149" s="177">
        <f>O149/O$9</f>
        <v>0.11574133177384603</v>
      </c>
      <c r="S149" s="176">
        <f>S150+S153</f>
        <v>70788</v>
      </c>
      <c r="T149" s="176">
        <f>T150+T153</f>
        <v>108068</v>
      </c>
      <c r="U149" s="176">
        <f>U150+U153</f>
        <v>113850</v>
      </c>
      <c r="V149" s="176">
        <f>V150+V153</f>
        <v>117114</v>
      </c>
      <c r="W149" s="176">
        <f>W150+W153</f>
        <v>111271</v>
      </c>
      <c r="X149" s="177">
        <f>IFERROR(W149/V149-1,"-")</f>
        <v>-4.9891558652253365E-2</v>
      </c>
      <c r="Y149" s="177">
        <f t="shared" si="43"/>
        <v>0.57189071594055485</v>
      </c>
      <c r="Z149" s="177">
        <f t="shared" ref="Z149:Z161" si="69">U149/U$9</f>
        <v>2.7843919484727298E-2</v>
      </c>
    </row>
    <row r="150" spans="1:26" x14ac:dyDescent="0.25">
      <c r="A150" s="1" t="s">
        <v>101</v>
      </c>
      <c r="B150" s="159" t="s">
        <v>102</v>
      </c>
      <c r="C150" s="160">
        <v>24594</v>
      </c>
      <c r="D150" s="160">
        <v>28913</v>
      </c>
      <c r="E150" s="160">
        <v>43611</v>
      </c>
      <c r="F150" s="160">
        <v>38736</v>
      </c>
      <c r="G150" s="160">
        <v>38121</v>
      </c>
      <c r="H150" s="161">
        <f>IFERROR(G150/F150-1,"-")</f>
        <v>-1.587670384138784E-2</v>
      </c>
      <c r="I150" s="178">
        <f t="shared" si="63"/>
        <v>0.55001219809709689</v>
      </c>
      <c r="J150" s="161">
        <f>G150/G$9</f>
        <v>5.0151819731828993E-2</v>
      </c>
      <c r="K150" s="160">
        <v>107688</v>
      </c>
      <c r="L150" s="160">
        <v>106530</v>
      </c>
      <c r="M150" s="160">
        <v>124159</v>
      </c>
      <c r="N150" s="160">
        <v>128032</v>
      </c>
      <c r="O150" s="160">
        <v>106244</v>
      </c>
      <c r="P150" s="161">
        <f>IFERROR(O150/N150-1,"-")</f>
        <v>-0.1701762059485129</v>
      </c>
      <c r="Q150" s="178">
        <f t="shared" si="42"/>
        <v>-1.3409107792883179E-2</v>
      </c>
      <c r="R150" s="161">
        <f>O150/O$9</f>
        <v>3.0896227306711738E-2</v>
      </c>
      <c r="S150" s="160">
        <v>40138</v>
      </c>
      <c r="T150" s="160">
        <v>56632</v>
      </c>
      <c r="U150" s="160">
        <v>56777</v>
      </c>
      <c r="V150" s="160">
        <v>52917</v>
      </c>
      <c r="W150" s="160">
        <v>47366</v>
      </c>
      <c r="X150" s="161">
        <f>IFERROR(W150/V150-1,"-")</f>
        <v>-0.10490012661337567</v>
      </c>
      <c r="Y150" s="178">
        <f t="shared" si="43"/>
        <v>0.18007872838706462</v>
      </c>
      <c r="Z150" s="161">
        <f t="shared" si="69"/>
        <v>1.3885763869867033E-2</v>
      </c>
    </row>
    <row r="151" spans="1:26" x14ac:dyDescent="0.25">
      <c r="A151" s="162" t="s">
        <v>108</v>
      </c>
      <c r="B151" s="163" t="s">
        <v>108</v>
      </c>
      <c r="C151" s="164">
        <v>18894</v>
      </c>
      <c r="D151" s="164">
        <v>14445</v>
      </c>
      <c r="E151" s="164">
        <v>24739</v>
      </c>
      <c r="F151" s="164">
        <v>15383</v>
      </c>
      <c r="G151" s="164">
        <v>16060</v>
      </c>
      <c r="H151" s="165">
        <f>IFERROR(G151/F151-1,"-")</f>
        <v>4.4009621010206113E-2</v>
      </c>
      <c r="I151" s="179">
        <f t="shared" si="63"/>
        <v>-0.14999470731449138</v>
      </c>
      <c r="J151" s="165">
        <f>G151/G$9</f>
        <v>2.112846527880102E-2</v>
      </c>
      <c r="K151" s="164">
        <v>68380</v>
      </c>
      <c r="L151" s="164">
        <v>64238</v>
      </c>
      <c r="M151" s="164">
        <v>76055</v>
      </c>
      <c r="N151" s="164">
        <v>76075</v>
      </c>
      <c r="O151" s="164">
        <v>51469</v>
      </c>
      <c r="P151" s="165">
        <f>IFERROR(O151/N151-1,"-")</f>
        <v>-0.32344396976667766</v>
      </c>
      <c r="Q151" s="179">
        <f t="shared" ref="Q151:Q161" si="70">IFERROR(O151/K151-1,"-")</f>
        <v>-0.24730915472360337</v>
      </c>
      <c r="R151" s="165">
        <f>O151/O$9</f>
        <v>1.4967413908071481E-2</v>
      </c>
      <c r="S151" s="164">
        <v>32300</v>
      </c>
      <c r="T151" s="164">
        <v>41224</v>
      </c>
      <c r="U151" s="164">
        <v>42625</v>
      </c>
      <c r="V151" s="164">
        <v>36789</v>
      </c>
      <c r="W151" s="164">
        <v>30211</v>
      </c>
      <c r="X151" s="165">
        <f>IFERROR(W151/V151-1,"-")</f>
        <v>-0.1788034466824322</v>
      </c>
      <c r="Y151" s="179">
        <f t="shared" ref="Y151:Y161" si="71">IFERROR(W151/S151-1,"-")</f>
        <v>-6.4674922600619245E-2</v>
      </c>
      <c r="Z151" s="165">
        <f t="shared" si="69"/>
        <v>1.0424655845731235E-2</v>
      </c>
    </row>
    <row r="152" spans="1:26" x14ac:dyDescent="0.25">
      <c r="A152" s="162" t="s">
        <v>105</v>
      </c>
      <c r="B152" s="163" t="s">
        <v>105</v>
      </c>
      <c r="C152" s="164">
        <v>5700</v>
      </c>
      <c r="D152" s="164">
        <v>14468</v>
      </c>
      <c r="E152" s="164">
        <v>18872</v>
      </c>
      <c r="F152" s="164">
        <v>23353</v>
      </c>
      <c r="G152" s="164">
        <v>22061</v>
      </c>
      <c r="H152" s="165">
        <f>IFERROR(G152/F152-1,"-")</f>
        <v>-5.5324797670534887E-2</v>
      </c>
      <c r="I152" s="179">
        <f t="shared" si="63"/>
        <v>2.8703508771929824</v>
      </c>
      <c r="J152" s="165">
        <f>G152/G$9</f>
        <v>2.9023354453027974E-2</v>
      </c>
      <c r="K152" s="164">
        <v>39308</v>
      </c>
      <c r="L152" s="164">
        <v>42292</v>
      </c>
      <c r="M152" s="164">
        <v>48104</v>
      </c>
      <c r="N152" s="164">
        <v>51957</v>
      </c>
      <c r="O152" s="164">
        <v>54775</v>
      </c>
      <c r="P152" s="165">
        <f>IFERROR(O152/N152-1,"-")</f>
        <v>5.4237157649594803E-2</v>
      </c>
      <c r="Q152" s="179">
        <f t="shared" si="70"/>
        <v>0.39348224280044786</v>
      </c>
      <c r="R152" s="165">
        <f>O152/O$9</f>
        <v>1.5928813398640256E-2</v>
      </c>
      <c r="S152" s="164">
        <v>7838</v>
      </c>
      <c r="T152" s="164">
        <v>15408</v>
      </c>
      <c r="U152" s="164">
        <v>14152</v>
      </c>
      <c r="V152" s="164">
        <v>16128</v>
      </c>
      <c r="W152" s="164">
        <v>17155</v>
      </c>
      <c r="X152" s="165">
        <f>IFERROR(W152/V152-1,"-")</f>
        <v>6.3678075396825351E-2</v>
      </c>
      <c r="Y152" s="179">
        <f t="shared" si="71"/>
        <v>1.1886960959428428</v>
      </c>
      <c r="Z152" s="165">
        <f t="shared" si="69"/>
        <v>3.4611080241357989E-3</v>
      </c>
    </row>
    <row r="153" spans="1:26" x14ac:dyDescent="0.25">
      <c r="A153" s="1" t="s">
        <v>151</v>
      </c>
      <c r="B153" s="159" t="s">
        <v>112</v>
      </c>
      <c r="C153" s="160">
        <v>31265</v>
      </c>
      <c r="D153" s="160">
        <v>54709</v>
      </c>
      <c r="E153" s="160">
        <v>74531</v>
      </c>
      <c r="F153" s="160">
        <v>79431</v>
      </c>
      <c r="G153" s="160">
        <v>88422</v>
      </c>
      <c r="H153" s="161">
        <f>IFERROR(G153/F153-1,"-")</f>
        <v>0.11319258224119055</v>
      </c>
      <c r="I153" s="178">
        <f t="shared" si="63"/>
        <v>1.8281464896849511</v>
      </c>
      <c r="J153" s="161">
        <f>G153/G$9</f>
        <v>0.11632759382827794</v>
      </c>
      <c r="K153" s="160">
        <v>118863</v>
      </c>
      <c r="L153" s="160">
        <v>276821</v>
      </c>
      <c r="M153" s="160">
        <v>307645</v>
      </c>
      <c r="N153" s="160">
        <v>314177</v>
      </c>
      <c r="O153" s="160">
        <v>291760</v>
      </c>
      <c r="P153" s="161">
        <f>IFERROR(O153/N153-1,"-")</f>
        <v>-7.1351499314080913E-2</v>
      </c>
      <c r="Q153" s="178">
        <f t="shared" si="70"/>
        <v>1.4545905790700218</v>
      </c>
      <c r="R153" s="161">
        <f>O153/O$9</f>
        <v>8.4845104467134294E-2</v>
      </c>
      <c r="S153" s="160">
        <v>30650</v>
      </c>
      <c r="T153" s="160">
        <v>51436</v>
      </c>
      <c r="U153" s="160">
        <v>57073</v>
      </c>
      <c r="V153" s="160">
        <v>64197</v>
      </c>
      <c r="W153" s="160">
        <v>63905</v>
      </c>
      <c r="X153" s="161">
        <f>IFERROR(W153/V153-1,"-")</f>
        <v>-4.5484991510507111E-3</v>
      </c>
      <c r="Y153" s="178">
        <f t="shared" si="71"/>
        <v>1.0849918433931482</v>
      </c>
      <c r="Z153" s="161">
        <f t="shared" si="69"/>
        <v>1.3958155614860265E-2</v>
      </c>
    </row>
    <row r="154" spans="1:26" x14ac:dyDescent="0.25">
      <c r="A154" s="162" t="s">
        <v>115</v>
      </c>
      <c r="B154" s="163" t="s">
        <v>115</v>
      </c>
      <c r="C154" s="164">
        <v>5675</v>
      </c>
      <c r="D154" s="164">
        <v>12974</v>
      </c>
      <c r="E154" s="164">
        <v>30431</v>
      </c>
      <c r="F154" s="164">
        <v>26781</v>
      </c>
      <c r="G154" s="164">
        <v>29873</v>
      </c>
      <c r="H154" s="165">
        <f t="shared" ref="H154:H161" si="72">IFERROR(G154/F154-1,"-")</f>
        <v>0.11545498674433374</v>
      </c>
      <c r="I154" s="179">
        <f t="shared" si="63"/>
        <v>4.2639647577092514</v>
      </c>
      <c r="J154" s="165">
        <f t="shared" ref="J154:J161" si="73">G154/G$9</f>
        <v>3.9300787252404906E-2</v>
      </c>
      <c r="K154" s="164">
        <v>34432</v>
      </c>
      <c r="L154" s="164">
        <v>147061</v>
      </c>
      <c r="M154" s="164">
        <v>158318</v>
      </c>
      <c r="N154" s="164">
        <v>151381</v>
      </c>
      <c r="O154" s="164">
        <v>148546</v>
      </c>
      <c r="P154" s="165">
        <f t="shared" ref="P154:P161" si="74">IFERROR(O154/N154-1,"-")</f>
        <v>-1.8727581400572069E-2</v>
      </c>
      <c r="Q154" s="179">
        <f t="shared" si="70"/>
        <v>3.3141844795539033</v>
      </c>
      <c r="R154" s="165">
        <f t="shared" ref="R154:R161" si="75">O154/O$9</f>
        <v>4.3197836880226666E-2</v>
      </c>
      <c r="S154" s="164">
        <v>5598</v>
      </c>
      <c r="T154" s="164">
        <v>19171</v>
      </c>
      <c r="U154" s="164">
        <v>18750</v>
      </c>
      <c r="V154" s="164">
        <v>19791</v>
      </c>
      <c r="W154" s="164">
        <v>17488</v>
      </c>
      <c r="X154" s="165">
        <f t="shared" ref="X154:X161" si="76">IFERROR(W154/V154-1,"-")</f>
        <v>-0.11636602496084081</v>
      </c>
      <c r="Y154" s="179">
        <f t="shared" si="71"/>
        <v>2.1239728474455162</v>
      </c>
      <c r="Z154" s="165">
        <f t="shared" si="69"/>
        <v>4.5856257385914522E-3</v>
      </c>
    </row>
    <row r="155" spans="1:26" x14ac:dyDescent="0.25">
      <c r="A155" s="162" t="s">
        <v>118</v>
      </c>
      <c r="B155" s="163" t="s">
        <v>118</v>
      </c>
      <c r="C155" s="164">
        <v>8932</v>
      </c>
      <c r="D155" s="164">
        <v>10369</v>
      </c>
      <c r="E155" s="164">
        <v>9859</v>
      </c>
      <c r="F155" s="164">
        <v>10681</v>
      </c>
      <c r="G155" s="164">
        <v>11971</v>
      </c>
      <c r="H155" s="165">
        <f t="shared" si="72"/>
        <v>0.12077520831382826</v>
      </c>
      <c r="I155" s="179">
        <f t="shared" si="63"/>
        <v>0.34023734885803858</v>
      </c>
      <c r="J155" s="165">
        <f t="shared" si="73"/>
        <v>1.5748994884964319E-2</v>
      </c>
      <c r="K155" s="164">
        <v>17016</v>
      </c>
      <c r="L155" s="164">
        <v>19276</v>
      </c>
      <c r="M155" s="164">
        <v>24782</v>
      </c>
      <c r="N155" s="164">
        <v>22694</v>
      </c>
      <c r="O155" s="164">
        <v>24044</v>
      </c>
      <c r="P155" s="165">
        <f t="shared" si="74"/>
        <v>5.9487089098440027E-2</v>
      </c>
      <c r="Q155" s="179">
        <f t="shared" si="70"/>
        <v>0.41302303714151378</v>
      </c>
      <c r="R155" s="165">
        <f t="shared" si="75"/>
        <v>6.9921020421160442E-3</v>
      </c>
      <c r="S155" s="164">
        <v>8036</v>
      </c>
      <c r="T155" s="164">
        <v>9936</v>
      </c>
      <c r="U155" s="164">
        <v>10332</v>
      </c>
      <c r="V155" s="164">
        <v>10102</v>
      </c>
      <c r="W155" s="164">
        <v>10525</v>
      </c>
      <c r="X155" s="165">
        <f t="shared" si="76"/>
        <v>4.1872896456147224E-2</v>
      </c>
      <c r="Y155" s="179">
        <f t="shared" si="71"/>
        <v>0.30973120955699351</v>
      </c>
      <c r="Z155" s="165">
        <f t="shared" si="69"/>
        <v>2.526863206993434E-3</v>
      </c>
    </row>
    <row r="156" spans="1:26" x14ac:dyDescent="0.25">
      <c r="A156" s="162" t="s">
        <v>121</v>
      </c>
      <c r="B156" s="163" t="s">
        <v>121</v>
      </c>
      <c r="C156" s="164">
        <v>5160</v>
      </c>
      <c r="D156" s="164">
        <v>7341</v>
      </c>
      <c r="E156" s="164">
        <v>9506</v>
      </c>
      <c r="F156" s="164">
        <v>8192</v>
      </c>
      <c r="G156" s="164">
        <v>9446</v>
      </c>
      <c r="H156" s="165">
        <f t="shared" si="72"/>
        <v>0.153076171875</v>
      </c>
      <c r="I156" s="179">
        <f t="shared" si="63"/>
        <v>0.83062015503875974</v>
      </c>
      <c r="J156" s="165">
        <f t="shared" si="73"/>
        <v>1.2427116003957312E-2</v>
      </c>
      <c r="K156" s="164">
        <v>17694</v>
      </c>
      <c r="L156" s="164">
        <v>28112</v>
      </c>
      <c r="M156" s="164">
        <v>28795</v>
      </c>
      <c r="N156" s="164">
        <v>37892</v>
      </c>
      <c r="O156" s="164">
        <v>32456</v>
      </c>
      <c r="P156" s="165">
        <f t="shared" si="74"/>
        <v>-0.14346036102607407</v>
      </c>
      <c r="Q156" s="179">
        <f t="shared" si="70"/>
        <v>0.83429411099807838</v>
      </c>
      <c r="R156" s="165">
        <f t="shared" si="75"/>
        <v>9.4383490217483917E-3</v>
      </c>
      <c r="S156" s="164">
        <v>5124</v>
      </c>
      <c r="T156" s="164">
        <v>6472</v>
      </c>
      <c r="U156" s="164">
        <v>9249</v>
      </c>
      <c r="V156" s="164">
        <v>11724</v>
      </c>
      <c r="W156" s="164">
        <v>15180</v>
      </c>
      <c r="X156" s="165">
        <f t="shared" si="76"/>
        <v>0.29477993858751272</v>
      </c>
      <c r="Y156" s="179">
        <f t="shared" si="71"/>
        <v>1.9625292740046838</v>
      </c>
      <c r="Z156" s="165">
        <f t="shared" si="69"/>
        <v>2.2619974643323915E-3</v>
      </c>
    </row>
    <row r="157" spans="1:26" x14ac:dyDescent="0.25">
      <c r="A157" s="162" t="s">
        <v>128</v>
      </c>
      <c r="B157" s="163" t="s">
        <v>128</v>
      </c>
      <c r="C157" s="164">
        <v>879</v>
      </c>
      <c r="D157" s="164">
        <v>1813</v>
      </c>
      <c r="E157" s="164">
        <v>1858</v>
      </c>
      <c r="F157" s="164">
        <v>2762</v>
      </c>
      <c r="G157" s="164">
        <v>3099</v>
      </c>
      <c r="H157" s="165">
        <f t="shared" si="72"/>
        <v>0.12201303403330921</v>
      </c>
      <c r="I157" s="179">
        <f t="shared" si="63"/>
        <v>2.5255972696245732</v>
      </c>
      <c r="J157" s="165">
        <f t="shared" si="73"/>
        <v>4.0770307533626628E-3</v>
      </c>
      <c r="K157" s="164">
        <v>6142</v>
      </c>
      <c r="L157" s="164">
        <v>9032</v>
      </c>
      <c r="M157" s="164">
        <v>9932</v>
      </c>
      <c r="N157" s="164">
        <v>10357</v>
      </c>
      <c r="O157" s="164">
        <v>8360</v>
      </c>
      <c r="P157" s="165">
        <f t="shared" si="74"/>
        <v>-0.19281645264072611</v>
      </c>
      <c r="Q157" s="179">
        <f t="shared" si="70"/>
        <v>0.36112015630087924</v>
      </c>
      <c r="R157" s="165">
        <f t="shared" si="75"/>
        <v>2.4311251485647201E-3</v>
      </c>
      <c r="S157" s="164">
        <v>906</v>
      </c>
      <c r="T157" s="164">
        <v>1617</v>
      </c>
      <c r="U157" s="164">
        <v>1502</v>
      </c>
      <c r="V157" s="164">
        <v>1867</v>
      </c>
      <c r="W157" s="164">
        <v>1924</v>
      </c>
      <c r="X157" s="165">
        <f t="shared" si="76"/>
        <v>3.0530262453133394E-2</v>
      </c>
      <c r="Y157" s="179">
        <f t="shared" si="71"/>
        <v>1.1236203090507728</v>
      </c>
      <c r="Z157" s="165">
        <f t="shared" si="69"/>
        <v>3.6733919249943263E-4</v>
      </c>
    </row>
    <row r="158" spans="1:26" x14ac:dyDescent="0.25">
      <c r="A158" s="162" t="s">
        <v>124</v>
      </c>
      <c r="B158" s="163" t="s">
        <v>124</v>
      </c>
      <c r="C158" s="164">
        <v>1322</v>
      </c>
      <c r="D158" s="164">
        <v>2130</v>
      </c>
      <c r="E158" s="164">
        <v>2477</v>
      </c>
      <c r="F158" s="164">
        <v>2542</v>
      </c>
      <c r="G158" s="164">
        <v>2932</v>
      </c>
      <c r="H158" s="165">
        <f t="shared" si="72"/>
        <v>0.15342250196695506</v>
      </c>
      <c r="I158" s="179">
        <f t="shared" si="63"/>
        <v>1.2178517397881996</v>
      </c>
      <c r="J158" s="165">
        <f t="shared" si="73"/>
        <v>3.8573262887574462E-3</v>
      </c>
      <c r="K158" s="164">
        <v>7182</v>
      </c>
      <c r="L158" s="164">
        <v>8632</v>
      </c>
      <c r="M158" s="164">
        <v>7809</v>
      </c>
      <c r="N158" s="164">
        <v>10062</v>
      </c>
      <c r="O158" s="164">
        <v>7893</v>
      </c>
      <c r="P158" s="165">
        <f t="shared" si="74"/>
        <v>-0.2155635062611807</v>
      </c>
      <c r="Q158" s="179">
        <f t="shared" si="70"/>
        <v>9.8997493734335862E-2</v>
      </c>
      <c r="R158" s="165">
        <f t="shared" si="75"/>
        <v>2.2953194733996815E-3</v>
      </c>
      <c r="S158" s="164">
        <v>1744</v>
      </c>
      <c r="T158" s="164">
        <v>2943</v>
      </c>
      <c r="U158" s="164">
        <v>2874</v>
      </c>
      <c r="V158" s="164">
        <v>3312</v>
      </c>
      <c r="W158" s="164">
        <v>2501</v>
      </c>
      <c r="X158" s="165">
        <f t="shared" si="76"/>
        <v>-0.24486714975845414</v>
      </c>
      <c r="Y158" s="179">
        <f t="shared" si="71"/>
        <v>0.43405963302752304</v>
      </c>
      <c r="Z158" s="165">
        <f t="shared" si="69"/>
        <v>7.0288471321129783E-4</v>
      </c>
    </row>
    <row r="159" spans="1:26" x14ac:dyDescent="0.25">
      <c r="A159" s="162" t="s">
        <v>133</v>
      </c>
      <c r="B159" s="163" t="s">
        <v>133</v>
      </c>
      <c r="C159" s="164">
        <v>298</v>
      </c>
      <c r="D159" s="164">
        <v>897</v>
      </c>
      <c r="E159" s="164">
        <v>869</v>
      </c>
      <c r="F159" s="164">
        <v>508</v>
      </c>
      <c r="G159" s="164">
        <v>559</v>
      </c>
      <c r="H159" s="165">
        <f t="shared" si="72"/>
        <v>0.10039370078740162</v>
      </c>
      <c r="I159" s="179">
        <f t="shared" si="63"/>
        <v>0.87583892617449655</v>
      </c>
      <c r="J159" s="165">
        <f t="shared" si="73"/>
        <v>7.3541793840907661E-4</v>
      </c>
      <c r="K159" s="164">
        <v>2169</v>
      </c>
      <c r="L159" s="164">
        <v>3515</v>
      </c>
      <c r="M159" s="164">
        <v>4828</v>
      </c>
      <c r="N159" s="164">
        <v>3380</v>
      </c>
      <c r="O159" s="164">
        <v>2243</v>
      </c>
      <c r="P159" s="165">
        <f t="shared" si="74"/>
        <v>-0.33639053254437867</v>
      </c>
      <c r="Q159" s="179">
        <f t="shared" si="70"/>
        <v>3.4117104656523844E-2</v>
      </c>
      <c r="R159" s="165">
        <f t="shared" si="75"/>
        <v>6.5227436701323772E-4</v>
      </c>
      <c r="S159" s="164">
        <v>282</v>
      </c>
      <c r="T159" s="164">
        <v>472</v>
      </c>
      <c r="U159" s="164">
        <v>432</v>
      </c>
      <c r="V159" s="164">
        <v>374</v>
      </c>
      <c r="W159" s="164">
        <v>296</v>
      </c>
      <c r="X159" s="165">
        <f t="shared" si="76"/>
        <v>-0.20855614973262027</v>
      </c>
      <c r="Y159" s="179">
        <f t="shared" si="71"/>
        <v>4.9645390070921946E-2</v>
      </c>
      <c r="Z159" s="165">
        <f t="shared" si="69"/>
        <v>1.0565281701714706E-4</v>
      </c>
    </row>
    <row r="160" spans="1:26" x14ac:dyDescent="0.25">
      <c r="A160" s="162" t="s">
        <v>136</v>
      </c>
      <c r="B160" s="163" t="s">
        <v>136</v>
      </c>
      <c r="C160" s="164">
        <v>170</v>
      </c>
      <c r="D160" s="164">
        <v>377</v>
      </c>
      <c r="E160" s="164">
        <v>451</v>
      </c>
      <c r="F160" s="164">
        <v>536</v>
      </c>
      <c r="G160" s="164">
        <v>754</v>
      </c>
      <c r="H160" s="165">
        <f t="shared" si="72"/>
        <v>0.40671641791044766</v>
      </c>
      <c r="I160" s="179">
        <f t="shared" si="63"/>
        <v>3.4352941176470591</v>
      </c>
      <c r="J160" s="165">
        <f t="shared" si="73"/>
        <v>9.9195907971456844E-4</v>
      </c>
      <c r="K160" s="164">
        <v>1087</v>
      </c>
      <c r="L160" s="164">
        <v>2069</v>
      </c>
      <c r="M160" s="164">
        <v>2366</v>
      </c>
      <c r="N160" s="164">
        <v>2200</v>
      </c>
      <c r="O160" s="164">
        <v>2015</v>
      </c>
      <c r="P160" s="165">
        <f t="shared" si="74"/>
        <v>-8.4090909090909105E-2</v>
      </c>
      <c r="Q160" s="179">
        <f t="shared" si="70"/>
        <v>0.85372585096596132</v>
      </c>
      <c r="R160" s="165">
        <f t="shared" si="75"/>
        <v>5.8597095387056348E-4</v>
      </c>
      <c r="S160" s="164">
        <v>446</v>
      </c>
      <c r="T160" s="164">
        <v>654</v>
      </c>
      <c r="U160" s="164">
        <v>832</v>
      </c>
      <c r="V160" s="164">
        <v>582</v>
      </c>
      <c r="W160" s="164">
        <v>436</v>
      </c>
      <c r="X160" s="165">
        <f t="shared" si="76"/>
        <v>-0.25085910652920962</v>
      </c>
      <c r="Y160" s="179">
        <f t="shared" si="71"/>
        <v>-2.2421524663677084E-2</v>
      </c>
      <c r="Z160" s="165">
        <f t="shared" si="69"/>
        <v>2.0347949944043138E-4</v>
      </c>
    </row>
    <row r="161" spans="1:26" x14ac:dyDescent="0.25">
      <c r="A161" s="167" t="s">
        <v>150</v>
      </c>
      <c r="B161" s="168" t="s">
        <v>150</v>
      </c>
      <c r="C161" s="169">
        <f>C153-SUM(C154:C160)</f>
        <v>8829</v>
      </c>
      <c r="D161" s="169">
        <f>D153-SUM(D154:D160)</f>
        <v>18808</v>
      </c>
      <c r="E161" s="169">
        <f>E153-SUM(E154:E160)</f>
        <v>19080</v>
      </c>
      <c r="F161" s="169">
        <f>F153-SUM(F154:F160)</f>
        <v>27429</v>
      </c>
      <c r="G161" s="169">
        <f>G153-SUM(G154:G160)</f>
        <v>29788</v>
      </c>
      <c r="H161" s="170">
        <f t="shared" si="72"/>
        <v>8.6003864522950169E-2</v>
      </c>
      <c r="I161" s="180">
        <f t="shared" si="63"/>
        <v>2.3738815267867257</v>
      </c>
      <c r="J161" s="170">
        <f t="shared" si="73"/>
        <v>3.9188961626707645E-2</v>
      </c>
      <c r="K161" s="169">
        <f>K153-SUM(K154:K160)</f>
        <v>33141</v>
      </c>
      <c r="L161" s="169">
        <f>L153-SUM(L154:L160)</f>
        <v>59124</v>
      </c>
      <c r="M161" s="169">
        <f>M153-SUM(M154:M160)</f>
        <v>70815</v>
      </c>
      <c r="N161" s="169">
        <f>N153-SUM(N154:N160)</f>
        <v>76211</v>
      </c>
      <c r="O161" s="169">
        <f>O153-SUM(O154:O160)</f>
        <v>66203</v>
      </c>
      <c r="P161" s="170">
        <f t="shared" si="74"/>
        <v>-0.13131962577580669</v>
      </c>
      <c r="Q161" s="180">
        <f t="shared" si="70"/>
        <v>0.99761624573790764</v>
      </c>
      <c r="R161" s="170">
        <f t="shared" si="75"/>
        <v>1.9252126580194998E-2</v>
      </c>
      <c r="S161" s="169">
        <f>S153-SUM(S154:S160)</f>
        <v>8514</v>
      </c>
      <c r="T161" s="169">
        <f>T153-SUM(T154:T160)</f>
        <v>10171</v>
      </c>
      <c r="U161" s="169">
        <f>U153-SUM(U154:U160)</f>
        <v>13102</v>
      </c>
      <c r="V161" s="169">
        <f>V153-SUM(V154:V160)</f>
        <v>16445</v>
      </c>
      <c r="W161" s="169">
        <f>W153-SUM(W154:W160)</f>
        <v>15555</v>
      </c>
      <c r="X161" s="170">
        <f t="shared" si="76"/>
        <v>-5.4119793250228088E-2</v>
      </c>
      <c r="Y161" s="180">
        <f t="shared" si="71"/>
        <v>0.82699083861874567</v>
      </c>
      <c r="Z161" s="170">
        <f t="shared" si="69"/>
        <v>3.2043129827746776E-3</v>
      </c>
    </row>
    <row r="162" spans="1:26" ht="6" customHeight="1" x14ac:dyDescent="0.25">
      <c r="C162" s="81"/>
      <c r="D162" s="81"/>
      <c r="E162" s="81"/>
      <c r="F162" s="81"/>
      <c r="G162" s="81"/>
      <c r="H162" s="81"/>
      <c r="K162" s="81"/>
      <c r="L162" s="81"/>
      <c r="M162" s="81"/>
      <c r="N162" s="81"/>
      <c r="O162" s="81"/>
      <c r="P162" s="81"/>
      <c r="S162" s="81"/>
      <c r="T162" s="81"/>
      <c r="U162" s="81"/>
      <c r="V162" s="81"/>
      <c r="W162" s="81"/>
      <c r="X162" s="81"/>
    </row>
    <row r="163" spans="1:26" ht="6" customHeight="1" x14ac:dyDescent="0.25">
      <c r="B163" s="171"/>
      <c r="C163" s="171"/>
      <c r="D163" s="171"/>
      <c r="E163" s="171"/>
      <c r="F163" s="171"/>
      <c r="G163" s="171"/>
      <c r="H163" s="171"/>
      <c r="I163" s="171"/>
      <c r="J163" s="171"/>
      <c r="K163" s="171"/>
      <c r="L163" s="171"/>
      <c r="M163" s="171"/>
      <c r="N163" s="171"/>
      <c r="O163" s="171"/>
      <c r="P163" s="171"/>
      <c r="Q163" s="171"/>
      <c r="R163" s="171"/>
      <c r="S163" s="171"/>
      <c r="T163" s="171"/>
      <c r="U163" s="171"/>
      <c r="V163" s="171"/>
      <c r="W163" s="171"/>
      <c r="X163" s="171"/>
      <c r="Y163" s="171"/>
      <c r="Z163" s="171"/>
    </row>
    <row r="164" spans="1:26" x14ac:dyDescent="0.25">
      <c r="B164" s="107" t="s">
        <v>57</v>
      </c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7"/>
      <c r="P164" s="107"/>
      <c r="Q164" s="107"/>
      <c r="R164" s="107"/>
      <c r="S164" s="107"/>
      <c r="T164" s="107"/>
      <c r="U164" s="107"/>
      <c r="V164" s="107"/>
      <c r="W164" s="107"/>
      <c r="X164" s="107"/>
      <c r="Y164" s="107"/>
      <c r="Z164" s="107"/>
    </row>
  </sheetData>
  <mergeCells count="3">
    <mergeCell ref="C6:J6"/>
    <mergeCell ref="K6:R6"/>
    <mergeCell ref="S6:Z6"/>
  </mergeCells>
  <pageMargins left="0.7" right="0.7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97595-AA78-47D6-A48B-05081BA6ACC0}">
  <sheetPr>
    <tabColor rgb="FFFFC00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783AE-229C-4A4B-94F6-2D6D2CEFC2C0}">
  <sheetPr>
    <tabColor rgb="FFFFC000"/>
  </sheetPr>
  <dimension ref="A1:V164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7" width="13.140625" customWidth="1"/>
    <col min="8" max="9" width="13.7109375" customWidth="1"/>
    <col min="11" max="18" width="11.42578125" hidden="1" customWidth="1"/>
  </cols>
  <sheetData>
    <row r="1" spans="1:18" ht="42.75" customHeight="1" x14ac:dyDescent="0.25"/>
    <row r="5" spans="1:18" ht="42" customHeight="1" thickBot="1" x14ac:dyDescent="0.3">
      <c r="B5" s="273" t="str">
        <f>CONCATENATE("Viajeros alojados en los establecimientos alojativos de según lugar de residencia y municipio de alojamiento (hotel + apartamento)")</f>
        <v>Viajeros alojados en los establecimientos alojativos de según lugar de residencia y municipio de alojamiento (hotel + apartamento)</v>
      </c>
      <c r="C5" s="273"/>
      <c r="D5" s="273"/>
      <c r="E5" s="273"/>
      <c r="F5" s="273"/>
      <c r="G5" s="273"/>
      <c r="H5" s="273"/>
      <c r="I5" s="273"/>
      <c r="K5" s="273" t="s">
        <v>278</v>
      </c>
      <c r="L5" s="273"/>
      <c r="M5" s="273"/>
      <c r="N5" s="273"/>
      <c r="O5" s="273"/>
      <c r="P5" s="273"/>
      <c r="Q5" s="273"/>
      <c r="R5" s="273"/>
    </row>
    <row r="6" spans="1:18" ht="6" customHeight="1" x14ac:dyDescent="0.25"/>
    <row r="7" spans="1:18" ht="15.75" x14ac:dyDescent="0.25">
      <c r="B7" s="145"/>
      <c r="C7" s="307" t="s">
        <v>45</v>
      </c>
      <c r="D7" s="308"/>
      <c r="E7" s="308"/>
      <c r="F7" s="308"/>
      <c r="G7" s="308"/>
      <c r="H7" s="308"/>
      <c r="I7" s="308"/>
    </row>
    <row r="8" spans="1:18" s="146" customFormat="1" ht="72" customHeight="1" x14ac:dyDescent="0.25">
      <c r="A8"/>
      <c r="B8" s="186"/>
      <c r="C8" s="172" t="s">
        <v>234</v>
      </c>
      <c r="D8" s="172" t="s">
        <v>235</v>
      </c>
      <c r="E8" s="172" t="s">
        <v>236</v>
      </c>
      <c r="F8" s="172" t="s">
        <v>237</v>
      </c>
      <c r="G8" s="172" t="s">
        <v>238</v>
      </c>
      <c r="H8" s="173" t="str">
        <f>CONCATENATE("var. ",RIGHT(G8,2),"/",RIGHT(F8,2))</f>
        <v>var. 26/25</v>
      </c>
      <c r="I8" s="173" t="str">
        <f>CONCATENATE("Cuota s/ total lugares de residencia ",RIGHT(G8,4))</f>
        <v>Cuota s/ total lugares de residencia 2026</v>
      </c>
      <c r="K8" s="186"/>
      <c r="L8" s="172" t="s">
        <v>234</v>
      </c>
      <c r="M8" s="172" t="s">
        <v>235</v>
      </c>
      <c r="N8" s="172" t="s">
        <v>236</v>
      </c>
      <c r="O8" s="172" t="s">
        <v>237</v>
      </c>
      <c r="P8" s="172" t="s">
        <v>238</v>
      </c>
      <c r="Q8" s="173" t="str">
        <f>CONCATENATE("var. ",RIGHT(P8,2),"/",RIGHT(O8,2))</f>
        <v>var. 26/25</v>
      </c>
      <c r="R8" s="173" t="str">
        <f>CONCATENATE("Cuota s/ total lugares de residencia ",RIGHT(P8,4))</f>
        <v>Cuota s/ total lugares de residencia 2026</v>
      </c>
    </row>
    <row r="9" spans="1:18" x14ac:dyDescent="0.25">
      <c r="B9" s="152" t="s">
        <v>45</v>
      </c>
      <c r="C9" s="153"/>
      <c r="D9" s="153"/>
      <c r="E9" s="153"/>
      <c r="F9" s="153"/>
      <c r="G9" s="153"/>
      <c r="H9" s="154"/>
      <c r="I9" s="154"/>
      <c r="K9" s="155" t="s">
        <v>53</v>
      </c>
      <c r="L9" s="174"/>
      <c r="M9" s="174"/>
      <c r="N9" s="174"/>
      <c r="O9" s="174"/>
      <c r="P9" s="174"/>
      <c r="Q9" s="175"/>
      <c r="R9" s="175"/>
    </row>
    <row r="10" spans="1:18" x14ac:dyDescent="0.25">
      <c r="B10" s="156" t="s">
        <v>73</v>
      </c>
      <c r="C10" s="176">
        <v>525893</v>
      </c>
      <c r="D10" s="176">
        <v>533193</v>
      </c>
      <c r="E10" s="176">
        <v>558529</v>
      </c>
      <c r="F10" s="176">
        <v>562194</v>
      </c>
      <c r="G10" s="176">
        <v>560690</v>
      </c>
      <c r="H10" s="177">
        <f t="shared" ref="H10:H22" si="0">IFERROR(G10/F10-1,"-")</f>
        <v>-2.6752331045867273E-3</v>
      </c>
      <c r="I10" s="177">
        <f t="shared" ref="I10:I22" si="1">G10/G$10</f>
        <v>1</v>
      </c>
      <c r="K10" s="156" t="s">
        <v>73</v>
      </c>
      <c r="L10" s="176">
        <v>18761</v>
      </c>
      <c r="M10" s="176">
        <v>18584</v>
      </c>
      <c r="N10" s="176">
        <v>22231</v>
      </c>
      <c r="O10" s="176">
        <v>24531</v>
      </c>
      <c r="P10" s="176">
        <v>22538</v>
      </c>
      <c r="Q10" s="177">
        <f t="shared" ref="Q10:Q22" si="2">IFERROR(P10/O10-1,"-")</f>
        <v>-8.1244140067669446E-2</v>
      </c>
      <c r="R10" s="177">
        <f t="shared" ref="R10:R22" si="3">P10/P$10</f>
        <v>1</v>
      </c>
    </row>
    <row r="11" spans="1:18" x14ac:dyDescent="0.25">
      <c r="B11" s="159" t="s">
        <v>102</v>
      </c>
      <c r="C11" s="160">
        <v>147620</v>
      </c>
      <c r="D11" s="160">
        <v>140146</v>
      </c>
      <c r="E11" s="160">
        <v>130850</v>
      </c>
      <c r="F11" s="160">
        <v>137351</v>
      </c>
      <c r="G11" s="160">
        <v>137370</v>
      </c>
      <c r="H11" s="161">
        <f t="shared" si="0"/>
        <v>1.3833171946320277E-4</v>
      </c>
      <c r="I11" s="161">
        <f t="shared" si="1"/>
        <v>0.24500169434090138</v>
      </c>
      <c r="J11" s="81"/>
      <c r="K11" s="159" t="s">
        <v>102</v>
      </c>
      <c r="L11" s="160">
        <v>12867</v>
      </c>
      <c r="M11" s="160">
        <v>13106</v>
      </c>
      <c r="N11" s="160">
        <v>16725</v>
      </c>
      <c r="O11" s="160">
        <v>18311</v>
      </c>
      <c r="P11" s="160">
        <v>17133</v>
      </c>
      <c r="Q11" s="161">
        <f t="shared" si="2"/>
        <v>-6.4332914641472394E-2</v>
      </c>
      <c r="R11" s="161">
        <f t="shared" si="3"/>
        <v>0.76018280237820568</v>
      </c>
    </row>
    <row r="12" spans="1:18" x14ac:dyDescent="0.25">
      <c r="B12" s="163" t="s">
        <v>108</v>
      </c>
      <c r="C12" s="164">
        <v>67495</v>
      </c>
      <c r="D12" s="164">
        <v>63812</v>
      </c>
      <c r="E12" s="164">
        <v>56598</v>
      </c>
      <c r="F12" s="164">
        <v>57062</v>
      </c>
      <c r="G12" s="164">
        <v>64673</v>
      </c>
      <c r="H12" s="165">
        <f t="shared" si="0"/>
        <v>0.13338123444674221</v>
      </c>
      <c r="I12" s="165">
        <f t="shared" si="1"/>
        <v>0.11534537801637268</v>
      </c>
      <c r="J12" s="81"/>
      <c r="K12" s="163" t="s">
        <v>108</v>
      </c>
      <c r="L12" s="164">
        <v>7496</v>
      </c>
      <c r="M12" s="164">
        <v>5669</v>
      </c>
      <c r="N12" s="164">
        <v>10068</v>
      </c>
      <c r="O12" s="164">
        <v>11323</v>
      </c>
      <c r="P12" s="164">
        <v>11468</v>
      </c>
      <c r="Q12" s="165">
        <f t="shared" si="2"/>
        <v>1.2805793517618902E-2</v>
      </c>
      <c r="R12" s="165">
        <f t="shared" si="3"/>
        <v>0.50882953234537232</v>
      </c>
    </row>
    <row r="13" spans="1:18" x14ac:dyDescent="0.25">
      <c r="B13" s="163" t="s">
        <v>105</v>
      </c>
      <c r="C13" s="164">
        <v>80125</v>
      </c>
      <c r="D13" s="164">
        <v>76334</v>
      </c>
      <c r="E13" s="164">
        <v>74252</v>
      </c>
      <c r="F13" s="164">
        <v>80289</v>
      </c>
      <c r="G13" s="164">
        <v>72697</v>
      </c>
      <c r="H13" s="165">
        <f t="shared" si="0"/>
        <v>-9.4558407751995865E-2</v>
      </c>
      <c r="I13" s="165">
        <f t="shared" si="1"/>
        <v>0.1296563163245287</v>
      </c>
      <c r="J13" s="81"/>
      <c r="K13" s="163" t="s">
        <v>105</v>
      </c>
      <c r="L13" s="164">
        <v>5371</v>
      </c>
      <c r="M13" s="164">
        <v>7437</v>
      </c>
      <c r="N13" s="164">
        <v>6657</v>
      </c>
      <c r="O13" s="164">
        <v>6988</v>
      </c>
      <c r="P13" s="164">
        <v>5665</v>
      </c>
      <c r="Q13" s="165">
        <f t="shared" si="2"/>
        <v>-0.18932455638236978</v>
      </c>
      <c r="R13" s="165">
        <f>P13/P$10</f>
        <v>0.25135327003283342</v>
      </c>
    </row>
    <row r="14" spans="1:18" x14ac:dyDescent="0.25">
      <c r="B14" s="159" t="s">
        <v>112</v>
      </c>
      <c r="C14" s="160">
        <v>378273</v>
      </c>
      <c r="D14" s="160">
        <v>393047</v>
      </c>
      <c r="E14" s="160">
        <v>427679</v>
      </c>
      <c r="F14" s="160">
        <v>424843</v>
      </c>
      <c r="G14" s="160">
        <v>423320</v>
      </c>
      <c r="H14" s="161">
        <f t="shared" si="0"/>
        <v>-3.5848536988958291E-3</v>
      </c>
      <c r="I14" s="161">
        <f t="shared" si="1"/>
        <v>0.75499830565909865</v>
      </c>
      <c r="J14" s="81"/>
      <c r="K14" s="159" t="s">
        <v>112</v>
      </c>
      <c r="L14" s="160">
        <v>5894</v>
      </c>
      <c r="M14" s="160">
        <v>5478</v>
      </c>
      <c r="N14" s="160">
        <v>5506</v>
      </c>
      <c r="O14" s="160">
        <v>6220</v>
      </c>
      <c r="P14" s="160">
        <v>5405</v>
      </c>
      <c r="Q14" s="161">
        <f t="shared" si="2"/>
        <v>-0.13102893890675238</v>
      </c>
      <c r="R14" s="161">
        <f t="shared" si="3"/>
        <v>0.23981719762179429</v>
      </c>
    </row>
    <row r="15" spans="1:18" x14ac:dyDescent="0.25">
      <c r="B15" s="163" t="s">
        <v>115</v>
      </c>
      <c r="C15" s="164">
        <v>196714</v>
      </c>
      <c r="D15" s="164">
        <v>205187</v>
      </c>
      <c r="E15" s="164">
        <v>222639</v>
      </c>
      <c r="F15" s="164">
        <v>219660</v>
      </c>
      <c r="G15" s="164">
        <v>224481</v>
      </c>
      <c r="H15" s="165">
        <f t="shared" si="0"/>
        <v>2.1947555312756162E-2</v>
      </c>
      <c r="I15" s="165">
        <f t="shared" si="1"/>
        <v>0.40036562093135242</v>
      </c>
      <c r="J15" s="81"/>
      <c r="K15" s="163" t="s">
        <v>115</v>
      </c>
      <c r="L15" s="164">
        <v>781</v>
      </c>
      <c r="M15" s="164">
        <v>697</v>
      </c>
      <c r="N15" s="164">
        <v>648</v>
      </c>
      <c r="O15" s="164">
        <v>640</v>
      </c>
      <c r="P15" s="164">
        <v>600</v>
      </c>
      <c r="Q15" s="165">
        <f t="shared" si="2"/>
        <v>-6.25E-2</v>
      </c>
      <c r="R15" s="165">
        <f t="shared" si="3"/>
        <v>2.6621705563936462E-2</v>
      </c>
    </row>
    <row r="16" spans="1:18" x14ac:dyDescent="0.25">
      <c r="B16" s="163" t="s">
        <v>118</v>
      </c>
      <c r="C16" s="164">
        <v>32365</v>
      </c>
      <c r="D16" s="164">
        <v>34339</v>
      </c>
      <c r="E16" s="164">
        <v>34006</v>
      </c>
      <c r="F16" s="164">
        <v>33559</v>
      </c>
      <c r="G16" s="164">
        <v>29060</v>
      </c>
      <c r="H16" s="165">
        <f t="shared" si="0"/>
        <v>-0.1340623975684615</v>
      </c>
      <c r="I16" s="165">
        <f t="shared" si="1"/>
        <v>5.1828996415131355E-2</v>
      </c>
      <c r="J16" s="81"/>
      <c r="K16" s="163" t="s">
        <v>118</v>
      </c>
      <c r="L16" s="164">
        <v>489</v>
      </c>
      <c r="M16" s="164">
        <v>538</v>
      </c>
      <c r="N16" s="164">
        <v>506</v>
      </c>
      <c r="O16" s="164">
        <v>538</v>
      </c>
      <c r="P16" s="164">
        <v>446</v>
      </c>
      <c r="Q16" s="165">
        <f t="shared" si="2"/>
        <v>-0.17100371747211895</v>
      </c>
      <c r="R16" s="165">
        <f t="shared" si="3"/>
        <v>1.9788801135859437E-2</v>
      </c>
    </row>
    <row r="17" spans="2:22" x14ac:dyDescent="0.25">
      <c r="B17" s="163" t="s">
        <v>121</v>
      </c>
      <c r="C17" s="164">
        <v>17413</v>
      </c>
      <c r="D17" s="164">
        <v>16707</v>
      </c>
      <c r="E17" s="164">
        <v>20543</v>
      </c>
      <c r="F17" s="164">
        <v>22004</v>
      </c>
      <c r="G17" s="164">
        <v>24193</v>
      </c>
      <c r="H17" s="165">
        <f t="shared" si="0"/>
        <v>9.9481912379567383E-2</v>
      </c>
      <c r="I17" s="165">
        <f t="shared" si="1"/>
        <v>4.3148620449802923E-2</v>
      </c>
      <c r="J17" s="81"/>
      <c r="K17" s="163" t="s">
        <v>121</v>
      </c>
      <c r="L17" s="164">
        <v>421</v>
      </c>
      <c r="M17" s="164">
        <v>523</v>
      </c>
      <c r="N17" s="164">
        <v>455</v>
      </c>
      <c r="O17" s="164">
        <v>765</v>
      </c>
      <c r="P17" s="164">
        <v>626</v>
      </c>
      <c r="Q17" s="165">
        <f t="shared" si="2"/>
        <v>-0.18169934640522878</v>
      </c>
      <c r="R17" s="165">
        <f t="shared" si="3"/>
        <v>2.7775312805040375E-2</v>
      </c>
    </row>
    <row r="18" spans="2:22" x14ac:dyDescent="0.25">
      <c r="B18" s="163" t="s">
        <v>128</v>
      </c>
      <c r="C18" s="164">
        <v>17486</v>
      </c>
      <c r="D18" s="164">
        <v>17336</v>
      </c>
      <c r="E18" s="164">
        <v>18906</v>
      </c>
      <c r="F18" s="164">
        <v>18015</v>
      </c>
      <c r="G18" s="164">
        <v>17771</v>
      </c>
      <c r="H18" s="165">
        <f t="shared" si="0"/>
        <v>-1.3544268665001358E-2</v>
      </c>
      <c r="I18" s="165">
        <f t="shared" si="1"/>
        <v>3.1694875956410851E-2</v>
      </c>
      <c r="J18" s="81"/>
      <c r="K18" s="163" t="s">
        <v>128</v>
      </c>
      <c r="L18" s="164">
        <v>101</v>
      </c>
      <c r="M18" s="164">
        <v>306</v>
      </c>
      <c r="N18" s="164">
        <v>151</v>
      </c>
      <c r="O18" s="164">
        <v>214</v>
      </c>
      <c r="P18" s="164">
        <v>209</v>
      </c>
      <c r="Q18" s="165">
        <f t="shared" si="2"/>
        <v>-2.3364485981308358E-2</v>
      </c>
      <c r="R18" s="165">
        <f t="shared" si="3"/>
        <v>9.2732274381045338E-3</v>
      </c>
    </row>
    <row r="19" spans="2:22" x14ac:dyDescent="0.25">
      <c r="B19" s="163" t="s">
        <v>124</v>
      </c>
      <c r="C19" s="164">
        <v>16173</v>
      </c>
      <c r="D19" s="164">
        <v>17328</v>
      </c>
      <c r="E19" s="164">
        <v>17970</v>
      </c>
      <c r="F19" s="164">
        <v>15236</v>
      </c>
      <c r="G19" s="164">
        <v>15655</v>
      </c>
      <c r="H19" s="165">
        <f t="shared" si="0"/>
        <v>2.7500656340246676E-2</v>
      </c>
      <c r="I19" s="165">
        <f t="shared" si="1"/>
        <v>2.7920954538158342E-2</v>
      </c>
      <c r="J19" s="81"/>
      <c r="K19" s="163" t="s">
        <v>124</v>
      </c>
      <c r="L19" s="164">
        <v>117</v>
      </c>
      <c r="M19" s="164">
        <v>140</v>
      </c>
      <c r="N19" s="164">
        <v>123</v>
      </c>
      <c r="O19" s="164">
        <v>190</v>
      </c>
      <c r="P19" s="164">
        <v>171</v>
      </c>
      <c r="Q19" s="165">
        <f t="shared" si="2"/>
        <v>-9.9999999999999978E-2</v>
      </c>
      <c r="R19" s="165">
        <f t="shared" si="3"/>
        <v>7.5871860857218915E-3</v>
      </c>
    </row>
    <row r="20" spans="2:22" x14ac:dyDescent="0.25">
      <c r="B20" s="163" t="s">
        <v>133</v>
      </c>
      <c r="C20" s="164">
        <v>2442</v>
      </c>
      <c r="D20" s="164">
        <v>1653</v>
      </c>
      <c r="E20" s="164">
        <v>2553</v>
      </c>
      <c r="F20" s="164">
        <v>2191</v>
      </c>
      <c r="G20" s="164">
        <v>1493</v>
      </c>
      <c r="H20" s="165">
        <f t="shared" si="0"/>
        <v>-0.31857599269739845</v>
      </c>
      <c r="I20" s="165">
        <f t="shared" si="1"/>
        <v>2.6627904902887514E-3</v>
      </c>
      <c r="J20" s="81"/>
      <c r="K20" s="163" t="s">
        <v>133</v>
      </c>
      <c r="L20" s="164">
        <v>33</v>
      </c>
      <c r="M20" s="164">
        <v>34</v>
      </c>
      <c r="N20" s="164">
        <v>53</v>
      </c>
      <c r="O20" s="164">
        <v>38</v>
      </c>
      <c r="P20" s="164">
        <v>13</v>
      </c>
      <c r="Q20" s="165">
        <f t="shared" si="2"/>
        <v>-0.65789473684210531</v>
      </c>
      <c r="R20" s="165">
        <f t="shared" si="3"/>
        <v>5.7680362055195669E-4</v>
      </c>
    </row>
    <row r="21" spans="2:22" x14ac:dyDescent="0.25">
      <c r="B21" s="163" t="s">
        <v>136</v>
      </c>
      <c r="C21" s="164">
        <v>818</v>
      </c>
      <c r="D21" s="164">
        <v>1067</v>
      </c>
      <c r="E21" s="164">
        <v>713</v>
      </c>
      <c r="F21" s="164">
        <v>567</v>
      </c>
      <c r="G21" s="164">
        <v>647</v>
      </c>
      <c r="H21" s="165">
        <f t="shared" si="0"/>
        <v>0.14109347442680775</v>
      </c>
      <c r="I21" s="165">
        <f t="shared" si="1"/>
        <v>1.1539353296830691E-3</v>
      </c>
      <c r="J21" s="81"/>
      <c r="K21" s="163" t="s">
        <v>136</v>
      </c>
      <c r="L21" s="164">
        <v>30</v>
      </c>
      <c r="M21" s="164">
        <v>42</v>
      </c>
      <c r="N21" s="164">
        <v>49</v>
      </c>
      <c r="O21" s="164">
        <v>54</v>
      </c>
      <c r="P21" s="164">
        <v>57</v>
      </c>
      <c r="Q21" s="165">
        <f t="shared" si="2"/>
        <v>5.555555555555558E-2</v>
      </c>
      <c r="R21" s="165">
        <f t="shared" si="3"/>
        <v>2.5290620285739638E-3</v>
      </c>
    </row>
    <row r="22" spans="2:22" x14ac:dyDescent="0.25">
      <c r="B22" s="168" t="s">
        <v>150</v>
      </c>
      <c r="C22" s="169">
        <f>C14-SUM(C15:C21)</f>
        <v>94862</v>
      </c>
      <c r="D22" s="169">
        <f>D14-SUM(D15:D21)</f>
        <v>99430</v>
      </c>
      <c r="E22" s="169">
        <f>E14-SUM(E15:E21)</f>
        <v>110349</v>
      </c>
      <c r="F22" s="169">
        <f>F14-SUM(F15:F21)</f>
        <v>113611</v>
      </c>
      <c r="G22" s="169">
        <f>G14-SUM(G15:G21)</f>
        <v>110020</v>
      </c>
      <c r="H22" s="170">
        <f t="shared" si="0"/>
        <v>-3.1607854873207719E-2</v>
      </c>
      <c r="I22" s="170">
        <f t="shared" si="1"/>
        <v>0.19622251154827089</v>
      </c>
      <c r="J22" s="81"/>
      <c r="K22" s="168" t="s">
        <v>150</v>
      </c>
      <c r="L22" s="169">
        <f>L14-SUM(L15:L21)</f>
        <v>3922</v>
      </c>
      <c r="M22" s="169">
        <f>M14-SUM(M15:M21)</f>
        <v>3198</v>
      </c>
      <c r="N22" s="169">
        <f>N14-SUM(N15:N21)</f>
        <v>3521</v>
      </c>
      <c r="O22" s="169">
        <f>O14-SUM(O15:O21)</f>
        <v>3781</v>
      </c>
      <c r="P22" s="169">
        <f>P14-SUM(P15:P21)</f>
        <v>3283</v>
      </c>
      <c r="Q22" s="170">
        <f t="shared" si="2"/>
        <v>-0.13171118751652999</v>
      </c>
      <c r="R22" s="170">
        <f t="shared" si="3"/>
        <v>0.14566509894400567</v>
      </c>
    </row>
    <row r="23" spans="2:22" x14ac:dyDescent="0.25">
      <c r="B23" s="155" t="s">
        <v>46</v>
      </c>
      <c r="C23" s="174"/>
      <c r="D23" s="174"/>
      <c r="E23" s="174"/>
      <c r="F23" s="174"/>
      <c r="G23" s="174"/>
      <c r="H23" s="175"/>
      <c r="I23" s="175"/>
      <c r="J23" s="81"/>
      <c r="K23" s="81"/>
      <c r="L23" s="81"/>
      <c r="M23" s="81"/>
      <c r="N23" s="81"/>
      <c r="O23" s="81"/>
      <c r="P23" s="81"/>
      <c r="Q23" s="81"/>
      <c r="R23" s="81"/>
      <c r="S23" s="81"/>
      <c r="T23" s="81"/>
      <c r="U23" s="81"/>
      <c r="V23" s="81"/>
    </row>
    <row r="24" spans="2:22" x14ac:dyDescent="0.25">
      <c r="B24" s="156" t="s">
        <v>73</v>
      </c>
      <c r="C24" s="176">
        <v>193056</v>
      </c>
      <c r="D24" s="176">
        <v>195916</v>
      </c>
      <c r="E24" s="176">
        <v>198178</v>
      </c>
      <c r="F24" s="176">
        <v>185177</v>
      </c>
      <c r="G24" s="176">
        <v>193582</v>
      </c>
      <c r="H24" s="177">
        <f t="shared" ref="H24:H36" si="4">IFERROR(G24/F24-1,"-")</f>
        <v>4.5389006194073822E-2</v>
      </c>
      <c r="I24" s="177">
        <f t="shared" ref="I24:I36" si="5">G24/G$10</f>
        <v>0.34525673723447897</v>
      </c>
      <c r="J24" s="81"/>
      <c r="K24" s="81"/>
      <c r="L24" s="81"/>
      <c r="M24" s="81"/>
      <c r="N24" s="81"/>
      <c r="O24" s="81"/>
      <c r="P24" s="81"/>
      <c r="Q24" s="81"/>
      <c r="R24" s="81"/>
      <c r="S24" s="81"/>
      <c r="T24" s="81"/>
      <c r="U24" s="81"/>
      <c r="V24" s="81"/>
    </row>
    <row r="25" spans="2:22" x14ac:dyDescent="0.25">
      <c r="B25" s="159" t="s">
        <v>102</v>
      </c>
      <c r="C25" s="160">
        <v>33408</v>
      </c>
      <c r="D25" s="160">
        <v>26458</v>
      </c>
      <c r="E25" s="160">
        <v>21651</v>
      </c>
      <c r="F25" s="160">
        <v>19026</v>
      </c>
      <c r="G25" s="160">
        <v>23189</v>
      </c>
      <c r="H25" s="161">
        <f t="shared" si="4"/>
        <v>0.21880584463365915</v>
      </c>
      <c r="I25" s="161">
        <f t="shared" si="5"/>
        <v>4.1357969644545113E-2</v>
      </c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</row>
    <row r="26" spans="2:22" x14ac:dyDescent="0.25">
      <c r="B26" s="163" t="s">
        <v>108</v>
      </c>
      <c r="C26" s="164">
        <v>13052</v>
      </c>
      <c r="D26" s="164">
        <v>10685</v>
      </c>
      <c r="E26" s="164">
        <v>8502</v>
      </c>
      <c r="F26" s="164">
        <v>9095</v>
      </c>
      <c r="G26" s="164">
        <v>10547</v>
      </c>
      <c r="H26" s="165">
        <f t="shared" si="4"/>
        <v>0.15964815832875212</v>
      </c>
      <c r="I26" s="165">
        <f t="shared" si="5"/>
        <v>1.88107510388985E-2</v>
      </c>
    </row>
    <row r="27" spans="2:22" x14ac:dyDescent="0.25">
      <c r="B27" s="163" t="s">
        <v>105</v>
      </c>
      <c r="C27" s="164">
        <v>20356</v>
      </c>
      <c r="D27" s="164">
        <v>15773</v>
      </c>
      <c r="E27" s="164">
        <v>13149</v>
      </c>
      <c r="F27" s="164">
        <v>9931</v>
      </c>
      <c r="G27" s="164">
        <v>12642</v>
      </c>
      <c r="H27" s="165">
        <f t="shared" si="4"/>
        <v>0.27298358674856504</v>
      </c>
      <c r="I27" s="165">
        <f t="shared" si="5"/>
        <v>2.2547218605646614E-2</v>
      </c>
    </row>
    <row r="28" spans="2:22" x14ac:dyDescent="0.25">
      <c r="B28" s="159" t="s">
        <v>112</v>
      </c>
      <c r="C28" s="160">
        <v>159648</v>
      </c>
      <c r="D28" s="160">
        <v>169458</v>
      </c>
      <c r="E28" s="160">
        <v>176527</v>
      </c>
      <c r="F28" s="160">
        <v>166151</v>
      </c>
      <c r="G28" s="160">
        <v>170393</v>
      </c>
      <c r="H28" s="161">
        <f t="shared" si="4"/>
        <v>2.5530992892007776E-2</v>
      </c>
      <c r="I28" s="161">
        <f t="shared" si="5"/>
        <v>0.30389876758993384</v>
      </c>
    </row>
    <row r="29" spans="2:22" x14ac:dyDescent="0.25">
      <c r="B29" s="163" t="s">
        <v>115</v>
      </c>
      <c r="C29" s="164">
        <v>86684</v>
      </c>
      <c r="D29" s="164">
        <v>91993</v>
      </c>
      <c r="E29" s="164">
        <v>96458</v>
      </c>
      <c r="F29" s="164">
        <v>90229</v>
      </c>
      <c r="G29" s="164">
        <v>96113</v>
      </c>
      <c r="H29" s="165">
        <f t="shared" si="4"/>
        <v>6.5211849848718195E-2</v>
      </c>
      <c r="I29" s="165">
        <f t="shared" si="5"/>
        <v>0.17141914426866897</v>
      </c>
    </row>
    <row r="30" spans="2:22" x14ac:dyDescent="0.25">
      <c r="B30" s="163" t="s">
        <v>118</v>
      </c>
      <c r="C30" s="164">
        <v>16321</v>
      </c>
      <c r="D30" s="164">
        <v>17000</v>
      </c>
      <c r="E30" s="164">
        <v>16678</v>
      </c>
      <c r="F30" s="164">
        <v>16149</v>
      </c>
      <c r="G30" s="164">
        <v>13181</v>
      </c>
      <c r="H30" s="165">
        <f t="shared" si="4"/>
        <v>-0.18378846987429565</v>
      </c>
      <c r="I30" s="165">
        <f t="shared" si="5"/>
        <v>2.3508534127592788E-2</v>
      </c>
    </row>
    <row r="31" spans="2:22" x14ac:dyDescent="0.25">
      <c r="B31" s="163" t="s">
        <v>121</v>
      </c>
      <c r="C31" s="164">
        <v>5785</v>
      </c>
      <c r="D31" s="164">
        <v>5901</v>
      </c>
      <c r="E31" s="164">
        <v>4971</v>
      </c>
      <c r="F31" s="164">
        <v>4561</v>
      </c>
      <c r="G31" s="164">
        <v>6124</v>
      </c>
      <c r="H31" s="165">
        <f t="shared" si="4"/>
        <v>0.34268800701600521</v>
      </c>
      <c r="I31" s="165">
        <f t="shared" si="5"/>
        <v>1.0922256505377302E-2</v>
      </c>
    </row>
    <row r="32" spans="2:22" x14ac:dyDescent="0.25">
      <c r="B32" s="163" t="s">
        <v>128</v>
      </c>
      <c r="C32" s="164">
        <v>7612</v>
      </c>
      <c r="D32" s="164">
        <v>7634</v>
      </c>
      <c r="E32" s="164">
        <v>7871</v>
      </c>
      <c r="F32" s="164">
        <v>7416</v>
      </c>
      <c r="G32" s="164">
        <v>8012</v>
      </c>
      <c r="H32" s="165">
        <f t="shared" si="4"/>
        <v>8.0366774541531738E-2</v>
      </c>
      <c r="I32" s="165">
        <f t="shared" si="5"/>
        <v>1.4289536107296366E-2</v>
      </c>
    </row>
    <row r="33" spans="2:9" x14ac:dyDescent="0.25">
      <c r="B33" s="163" t="s">
        <v>124</v>
      </c>
      <c r="C33" s="164">
        <v>8809</v>
      </c>
      <c r="D33" s="164">
        <v>9153</v>
      </c>
      <c r="E33" s="164">
        <v>9325</v>
      </c>
      <c r="F33" s="164">
        <v>7526</v>
      </c>
      <c r="G33" s="164">
        <v>8455</v>
      </c>
      <c r="H33" s="165">
        <f t="shared" si="4"/>
        <v>0.12343874568163704</v>
      </c>
      <c r="I33" s="165">
        <f t="shared" si="5"/>
        <v>1.50796340223653E-2</v>
      </c>
    </row>
    <row r="34" spans="2:9" x14ac:dyDescent="0.25">
      <c r="B34" s="163" t="s">
        <v>133</v>
      </c>
      <c r="C34" s="164">
        <v>804</v>
      </c>
      <c r="D34" s="164">
        <v>640</v>
      </c>
      <c r="E34" s="164">
        <v>1422</v>
      </c>
      <c r="F34" s="164">
        <v>854</v>
      </c>
      <c r="G34" s="164">
        <v>652</v>
      </c>
      <c r="H34" s="165">
        <f t="shared" si="4"/>
        <v>-0.2365339578454333</v>
      </c>
      <c r="I34" s="165">
        <f t="shared" si="5"/>
        <v>1.1628529133745919E-3</v>
      </c>
    </row>
    <row r="35" spans="2:9" x14ac:dyDescent="0.25">
      <c r="B35" s="163" t="s">
        <v>136</v>
      </c>
      <c r="C35" s="164">
        <v>350</v>
      </c>
      <c r="D35" s="164">
        <v>495</v>
      </c>
      <c r="E35" s="164">
        <v>342</v>
      </c>
      <c r="F35" s="164">
        <v>153</v>
      </c>
      <c r="G35" s="164">
        <v>238</v>
      </c>
      <c r="H35" s="165">
        <f t="shared" si="4"/>
        <v>0.55555555555555558</v>
      </c>
      <c r="I35" s="165">
        <f t="shared" si="5"/>
        <v>4.2447698371649218E-4</v>
      </c>
    </row>
    <row r="36" spans="2:9" x14ac:dyDescent="0.25">
      <c r="B36" s="168" t="s">
        <v>150</v>
      </c>
      <c r="C36" s="169">
        <f>C28-SUM(C29:C35)</f>
        <v>33283</v>
      </c>
      <c r="D36" s="169">
        <f>D28-SUM(D29:D35)</f>
        <v>36642</v>
      </c>
      <c r="E36" s="169">
        <f>E28-SUM(E29:E35)</f>
        <v>39460</v>
      </c>
      <c r="F36" s="169">
        <f>F28-SUM(F29:F35)</f>
        <v>39263</v>
      </c>
      <c r="G36" s="169">
        <f>G28-SUM(G29:G35)</f>
        <v>37618</v>
      </c>
      <c r="H36" s="170">
        <f t="shared" si="4"/>
        <v>-4.1896951328222465E-2</v>
      </c>
      <c r="I36" s="170">
        <f t="shared" si="5"/>
        <v>6.7092332661542034E-2</v>
      </c>
    </row>
    <row r="37" spans="2:9" x14ac:dyDescent="0.25">
      <c r="B37" s="155" t="s">
        <v>47</v>
      </c>
      <c r="C37" s="174"/>
      <c r="D37" s="174"/>
      <c r="E37" s="174"/>
      <c r="F37" s="174"/>
      <c r="G37" s="174"/>
      <c r="H37" s="175"/>
      <c r="I37" s="175"/>
    </row>
    <row r="38" spans="2:9" x14ac:dyDescent="0.25">
      <c r="B38" s="156" t="s">
        <v>73</v>
      </c>
      <c r="C38" s="176">
        <v>140298</v>
      </c>
      <c r="D38" s="176">
        <v>136073</v>
      </c>
      <c r="E38" s="176">
        <v>144210</v>
      </c>
      <c r="F38" s="176">
        <v>149733</v>
      </c>
      <c r="G38" s="176">
        <v>151861</v>
      </c>
      <c r="H38" s="177">
        <f t="shared" ref="H38:H50" si="6">IFERROR(G38/F38-1,"-")</f>
        <v>1.4211963962520002E-2</v>
      </c>
      <c r="I38" s="177">
        <f t="shared" ref="I38:I50" si="7">G38/G$10</f>
        <v>0.27084663539567316</v>
      </c>
    </row>
    <row r="39" spans="2:9" x14ac:dyDescent="0.25">
      <c r="B39" s="159" t="s">
        <v>102</v>
      </c>
      <c r="C39" s="160">
        <v>19503</v>
      </c>
      <c r="D39" s="160">
        <v>16484</v>
      </c>
      <c r="E39" s="160">
        <v>15999</v>
      </c>
      <c r="F39" s="160">
        <v>15245</v>
      </c>
      <c r="G39" s="160">
        <v>19365</v>
      </c>
      <c r="H39" s="161">
        <f t="shared" si="6"/>
        <v>0.27025254181698921</v>
      </c>
      <c r="I39" s="161">
        <f t="shared" si="7"/>
        <v>3.4537801637268363E-2</v>
      </c>
    </row>
    <row r="40" spans="2:9" x14ac:dyDescent="0.25">
      <c r="B40" s="163" t="s">
        <v>108</v>
      </c>
      <c r="C40" s="164">
        <v>8182</v>
      </c>
      <c r="D40" s="164">
        <v>8285</v>
      </c>
      <c r="E40" s="164">
        <v>7601</v>
      </c>
      <c r="F40" s="164">
        <v>6833</v>
      </c>
      <c r="G40" s="164">
        <v>9897</v>
      </c>
      <c r="H40" s="165">
        <f t="shared" si="6"/>
        <v>0.44841211766427636</v>
      </c>
      <c r="I40" s="165">
        <f t="shared" si="7"/>
        <v>1.7651465159000516E-2</v>
      </c>
    </row>
    <row r="41" spans="2:9" x14ac:dyDescent="0.25">
      <c r="B41" s="163" t="s">
        <v>105</v>
      </c>
      <c r="C41" s="164">
        <v>11321</v>
      </c>
      <c r="D41" s="164">
        <v>8199</v>
      </c>
      <c r="E41" s="164">
        <v>8398</v>
      </c>
      <c r="F41" s="164">
        <v>8412</v>
      </c>
      <c r="G41" s="164">
        <v>9468</v>
      </c>
      <c r="H41" s="165">
        <f t="shared" si="6"/>
        <v>0.12553495007132676</v>
      </c>
      <c r="I41" s="165">
        <f t="shared" si="7"/>
        <v>1.6886336478267847E-2</v>
      </c>
    </row>
    <row r="42" spans="2:9" x14ac:dyDescent="0.25">
      <c r="B42" s="159" t="s">
        <v>112</v>
      </c>
      <c r="C42" s="160">
        <v>120795</v>
      </c>
      <c r="D42" s="160">
        <v>119589</v>
      </c>
      <c r="E42" s="160">
        <v>128211</v>
      </c>
      <c r="F42" s="160">
        <v>134488</v>
      </c>
      <c r="G42" s="160">
        <v>132496</v>
      </c>
      <c r="H42" s="161">
        <f t="shared" si="6"/>
        <v>-1.4811730414609481E-2</v>
      </c>
      <c r="I42" s="161">
        <f t="shared" si="7"/>
        <v>0.23630883375840483</v>
      </c>
    </row>
    <row r="43" spans="2:9" x14ac:dyDescent="0.25">
      <c r="B43" s="163" t="s">
        <v>115</v>
      </c>
      <c r="C43" s="164">
        <v>71288</v>
      </c>
      <c r="D43" s="164">
        <v>73060</v>
      </c>
      <c r="E43" s="164">
        <v>77891</v>
      </c>
      <c r="F43" s="164">
        <v>78714</v>
      </c>
      <c r="G43" s="164">
        <v>79121</v>
      </c>
      <c r="H43" s="165">
        <f t="shared" si="6"/>
        <v>5.1706176791930236E-3</v>
      </c>
      <c r="I43" s="165">
        <f t="shared" si="7"/>
        <v>0.14111362785139739</v>
      </c>
    </row>
    <row r="44" spans="2:9" x14ac:dyDescent="0.25">
      <c r="B44" s="163" t="s">
        <v>118</v>
      </c>
      <c r="C44" s="164">
        <v>3513</v>
      </c>
      <c r="D44" s="164">
        <v>3028</v>
      </c>
      <c r="E44" s="164">
        <v>3031</v>
      </c>
      <c r="F44" s="164">
        <v>3639</v>
      </c>
      <c r="G44" s="164">
        <v>3313</v>
      </c>
      <c r="H44" s="165">
        <f t="shared" si="6"/>
        <v>-8.9585050838142388E-2</v>
      </c>
      <c r="I44" s="165">
        <f t="shared" si="7"/>
        <v>5.9087909540031036E-3</v>
      </c>
    </row>
    <row r="45" spans="2:9" x14ac:dyDescent="0.25">
      <c r="B45" s="163" t="s">
        <v>121</v>
      </c>
      <c r="C45" s="164">
        <v>2336</v>
      </c>
      <c r="D45" s="164">
        <v>2317</v>
      </c>
      <c r="E45" s="164">
        <v>2776</v>
      </c>
      <c r="F45" s="164">
        <v>3229</v>
      </c>
      <c r="G45" s="164">
        <v>4651</v>
      </c>
      <c r="H45" s="165">
        <f t="shared" si="6"/>
        <v>0.44038401982037789</v>
      </c>
      <c r="I45" s="165">
        <f t="shared" si="7"/>
        <v>8.2951363498546433E-3</v>
      </c>
    </row>
    <row r="46" spans="2:9" x14ac:dyDescent="0.25">
      <c r="B46" s="163" t="s">
        <v>128</v>
      </c>
      <c r="C46" s="164">
        <v>6530</v>
      </c>
      <c r="D46" s="164">
        <v>5754</v>
      </c>
      <c r="E46" s="164">
        <v>6584</v>
      </c>
      <c r="F46" s="164">
        <v>6429</v>
      </c>
      <c r="G46" s="164">
        <v>5730</v>
      </c>
      <c r="H46" s="165">
        <f t="shared" si="6"/>
        <v>-0.10872608492767144</v>
      </c>
      <c r="I46" s="165">
        <f t="shared" si="7"/>
        <v>1.0219550910485296E-2</v>
      </c>
    </row>
    <row r="47" spans="2:9" x14ac:dyDescent="0.25">
      <c r="B47" s="163" t="s">
        <v>124</v>
      </c>
      <c r="C47" s="164">
        <v>4173</v>
      </c>
      <c r="D47" s="164">
        <v>4700</v>
      </c>
      <c r="E47" s="164">
        <v>4974</v>
      </c>
      <c r="F47" s="164">
        <v>4544</v>
      </c>
      <c r="G47" s="164">
        <v>4147</v>
      </c>
      <c r="H47" s="165">
        <f t="shared" si="6"/>
        <v>-8.7367957746478875E-2</v>
      </c>
      <c r="I47" s="165">
        <f t="shared" si="7"/>
        <v>7.3962439137491304E-3</v>
      </c>
    </row>
    <row r="48" spans="2:9" x14ac:dyDescent="0.25">
      <c r="B48" s="163" t="s">
        <v>133</v>
      </c>
      <c r="C48" s="164">
        <v>992</v>
      </c>
      <c r="D48" s="164">
        <v>600</v>
      </c>
      <c r="E48" s="164">
        <v>761</v>
      </c>
      <c r="F48" s="164">
        <v>645</v>
      </c>
      <c r="G48" s="164">
        <v>357</v>
      </c>
      <c r="H48" s="165">
        <f t="shared" si="6"/>
        <v>-0.44651162790697674</v>
      </c>
      <c r="I48" s="165">
        <f t="shared" si="7"/>
        <v>6.3671547557473827E-4</v>
      </c>
    </row>
    <row r="49" spans="2:9" x14ac:dyDescent="0.25">
      <c r="B49" s="163" t="s">
        <v>136</v>
      </c>
      <c r="C49" s="164">
        <v>194</v>
      </c>
      <c r="D49" s="164">
        <v>285</v>
      </c>
      <c r="E49" s="164">
        <v>136</v>
      </c>
      <c r="F49" s="164">
        <v>138</v>
      </c>
      <c r="G49" s="164">
        <v>128</v>
      </c>
      <c r="H49" s="165">
        <f t="shared" si="6"/>
        <v>-7.2463768115942018E-2</v>
      </c>
      <c r="I49" s="165">
        <f t="shared" si="7"/>
        <v>2.2829014250298738E-4</v>
      </c>
    </row>
    <row r="50" spans="2:9" x14ac:dyDescent="0.25">
      <c r="B50" s="168" t="s">
        <v>150</v>
      </c>
      <c r="C50" s="169">
        <f>C42-SUM(C43:C49)</f>
        <v>31769</v>
      </c>
      <c r="D50" s="169">
        <f>D42-SUM(D43:D49)</f>
        <v>29845</v>
      </c>
      <c r="E50" s="169">
        <f>E42-SUM(E43:E49)</f>
        <v>32058</v>
      </c>
      <c r="F50" s="169">
        <f>F42-SUM(F43:F49)</f>
        <v>37150</v>
      </c>
      <c r="G50" s="169">
        <f>G42-SUM(G43:G49)</f>
        <v>35049</v>
      </c>
      <c r="H50" s="170">
        <f t="shared" si="6"/>
        <v>-5.6554508748317578E-2</v>
      </c>
      <c r="I50" s="170">
        <f t="shared" si="7"/>
        <v>6.2510478160837546E-2</v>
      </c>
    </row>
    <row r="51" spans="2:9" x14ac:dyDescent="0.25">
      <c r="B51" s="155" t="s">
        <v>48</v>
      </c>
      <c r="C51" s="174"/>
      <c r="D51" s="174"/>
      <c r="E51" s="174"/>
      <c r="F51" s="174"/>
      <c r="G51" s="174"/>
      <c r="H51" s="175"/>
      <c r="I51" s="175"/>
    </row>
    <row r="52" spans="2:9" x14ac:dyDescent="0.25">
      <c r="B52" s="156" t="s">
        <v>73</v>
      </c>
      <c r="C52" s="176">
        <v>2613</v>
      </c>
      <c r="D52" s="176">
        <v>3109</v>
      </c>
      <c r="E52" s="176">
        <v>2720</v>
      </c>
      <c r="F52" s="176">
        <v>3023</v>
      </c>
      <c r="G52" s="176">
        <v>4286</v>
      </c>
      <c r="H52" s="177">
        <f t="shared" ref="H52:H64" si="8">IFERROR(G52/F52-1,"-")</f>
        <v>0.41779689050611979</v>
      </c>
      <c r="I52" s="177">
        <f t="shared" ref="I52:I64" si="9">G52/G$10</f>
        <v>7.6441527403734687E-3</v>
      </c>
    </row>
    <row r="53" spans="2:9" x14ac:dyDescent="0.25">
      <c r="B53" s="159" t="s">
        <v>102</v>
      </c>
      <c r="C53" s="160">
        <v>538</v>
      </c>
      <c r="D53" s="160">
        <v>1438</v>
      </c>
      <c r="E53" s="160">
        <v>937</v>
      </c>
      <c r="F53" s="160">
        <v>481</v>
      </c>
      <c r="G53" s="160">
        <v>1808</v>
      </c>
      <c r="H53" s="161">
        <f t="shared" si="8"/>
        <v>2.758835758835759</v>
      </c>
      <c r="I53" s="161">
        <f t="shared" si="9"/>
        <v>3.2245982628546967E-3</v>
      </c>
    </row>
    <row r="54" spans="2:9" x14ac:dyDescent="0.25">
      <c r="B54" s="163" t="s">
        <v>108</v>
      </c>
      <c r="C54" s="164">
        <v>274</v>
      </c>
      <c r="D54" s="164">
        <v>1139</v>
      </c>
      <c r="E54" s="164">
        <v>651</v>
      </c>
      <c r="F54" s="164">
        <v>42</v>
      </c>
      <c r="G54" s="164">
        <v>1264</v>
      </c>
      <c r="H54" s="165">
        <f t="shared" si="8"/>
        <v>29.095238095238095</v>
      </c>
      <c r="I54" s="165">
        <f t="shared" si="9"/>
        <v>2.2543651572170006E-3</v>
      </c>
    </row>
    <row r="55" spans="2:9" x14ac:dyDescent="0.25">
      <c r="B55" s="163" t="s">
        <v>105</v>
      </c>
      <c r="C55" s="164">
        <v>264</v>
      </c>
      <c r="D55" s="164">
        <v>299</v>
      </c>
      <c r="E55" s="164">
        <v>286</v>
      </c>
      <c r="F55" s="164">
        <v>439</v>
      </c>
      <c r="G55" s="164">
        <v>544</v>
      </c>
      <c r="H55" s="165">
        <f t="shared" si="8"/>
        <v>0.23917995444191353</v>
      </c>
      <c r="I55" s="165">
        <f t="shared" si="9"/>
        <v>9.7023310563769643E-4</v>
      </c>
    </row>
    <row r="56" spans="2:9" x14ac:dyDescent="0.25">
      <c r="B56" s="159" t="s">
        <v>112</v>
      </c>
      <c r="C56" s="160">
        <v>2075</v>
      </c>
      <c r="D56" s="160">
        <v>1671</v>
      </c>
      <c r="E56" s="160">
        <v>1783</v>
      </c>
      <c r="F56" s="160">
        <v>2542</v>
      </c>
      <c r="G56" s="160">
        <v>2478</v>
      </c>
      <c r="H56" s="161">
        <f t="shared" si="8"/>
        <v>-2.5177025963807997E-2</v>
      </c>
      <c r="I56" s="161">
        <f t="shared" si="9"/>
        <v>4.4195544775187719E-3</v>
      </c>
    </row>
    <row r="57" spans="2:9" x14ac:dyDescent="0.25">
      <c r="B57" s="163" t="s">
        <v>115</v>
      </c>
      <c r="C57" s="164">
        <v>1011</v>
      </c>
      <c r="D57" s="164">
        <v>667</v>
      </c>
      <c r="E57" s="164">
        <v>807</v>
      </c>
      <c r="F57" s="164">
        <v>1050</v>
      </c>
      <c r="G57" s="164">
        <v>733</v>
      </c>
      <c r="H57" s="165">
        <f t="shared" si="8"/>
        <v>-0.3019047619047619</v>
      </c>
      <c r="I57" s="165">
        <f t="shared" si="9"/>
        <v>1.3073177691772637E-3</v>
      </c>
    </row>
    <row r="58" spans="2:9" x14ac:dyDescent="0.25">
      <c r="B58" s="163" t="s">
        <v>118</v>
      </c>
      <c r="C58" s="164">
        <v>252</v>
      </c>
      <c r="D58" s="164">
        <v>215</v>
      </c>
      <c r="E58" s="164">
        <v>311</v>
      </c>
      <c r="F58" s="164">
        <v>350</v>
      </c>
      <c r="G58" s="164">
        <v>427</v>
      </c>
      <c r="H58" s="165">
        <f t="shared" si="8"/>
        <v>0.21999999999999997</v>
      </c>
      <c r="I58" s="165">
        <f t="shared" si="9"/>
        <v>7.6156164725605952E-4</v>
      </c>
    </row>
    <row r="59" spans="2:9" x14ac:dyDescent="0.25">
      <c r="B59" s="163" t="s">
        <v>121</v>
      </c>
      <c r="C59" s="164">
        <v>166</v>
      </c>
      <c r="D59" s="164">
        <v>173</v>
      </c>
      <c r="E59" s="164">
        <v>61</v>
      </c>
      <c r="F59" s="164">
        <v>285</v>
      </c>
      <c r="G59" s="164">
        <v>280</v>
      </c>
      <c r="H59" s="165">
        <f t="shared" si="8"/>
        <v>-1.7543859649122862E-2</v>
      </c>
      <c r="I59" s="165">
        <f t="shared" si="9"/>
        <v>4.9938468672528489E-4</v>
      </c>
    </row>
    <row r="60" spans="2:9" x14ac:dyDescent="0.25">
      <c r="B60" s="163" t="s">
        <v>128</v>
      </c>
      <c r="C60" s="164">
        <v>77</v>
      </c>
      <c r="D60" s="164">
        <v>39</v>
      </c>
      <c r="E60" s="164">
        <v>41</v>
      </c>
      <c r="F60" s="164">
        <v>58</v>
      </c>
      <c r="G60" s="164">
        <v>90</v>
      </c>
      <c r="H60" s="165">
        <f t="shared" si="8"/>
        <v>0.55172413793103448</v>
      </c>
      <c r="I60" s="165">
        <f t="shared" si="9"/>
        <v>1.6051650644741301E-4</v>
      </c>
    </row>
    <row r="61" spans="2:9" x14ac:dyDescent="0.25">
      <c r="B61" s="163" t="s">
        <v>124</v>
      </c>
      <c r="C61" s="164">
        <v>51</v>
      </c>
      <c r="D61" s="164">
        <v>27</v>
      </c>
      <c r="E61" s="164">
        <v>5</v>
      </c>
      <c r="F61" s="164">
        <v>64</v>
      </c>
      <c r="G61" s="164">
        <v>66</v>
      </c>
      <c r="H61" s="165">
        <f t="shared" si="8"/>
        <v>3.125E-2</v>
      </c>
      <c r="I61" s="165">
        <f t="shared" si="9"/>
        <v>1.1771210472810287E-4</v>
      </c>
    </row>
    <row r="62" spans="2:9" x14ac:dyDescent="0.25">
      <c r="B62" s="163" t="s">
        <v>133</v>
      </c>
      <c r="C62" s="164">
        <v>13</v>
      </c>
      <c r="D62" s="164">
        <v>3</v>
      </c>
      <c r="E62" s="164">
        <v>6</v>
      </c>
      <c r="F62" s="164">
        <v>6</v>
      </c>
      <c r="G62" s="164">
        <v>22</v>
      </c>
      <c r="H62" s="165">
        <f t="shared" si="8"/>
        <v>2.6666666666666665</v>
      </c>
      <c r="I62" s="165">
        <f t="shared" si="9"/>
        <v>3.9237368242700957E-5</v>
      </c>
    </row>
    <row r="63" spans="2:9" x14ac:dyDescent="0.25">
      <c r="B63" s="163" t="s">
        <v>136</v>
      </c>
      <c r="C63" s="164">
        <v>6</v>
      </c>
      <c r="D63" s="164">
        <v>0</v>
      </c>
      <c r="E63" s="164">
        <v>0</v>
      </c>
      <c r="F63" s="164">
        <v>12</v>
      </c>
      <c r="G63" s="164">
        <v>8</v>
      </c>
      <c r="H63" s="165">
        <f t="shared" si="8"/>
        <v>-0.33333333333333337</v>
      </c>
      <c r="I63" s="165">
        <f t="shared" si="9"/>
        <v>1.4268133906436711E-5</v>
      </c>
    </row>
    <row r="64" spans="2:9" x14ac:dyDescent="0.25">
      <c r="B64" s="168" t="s">
        <v>150</v>
      </c>
      <c r="C64" s="169">
        <f>C56-SUM(C57:C63)</f>
        <v>499</v>
      </c>
      <c r="D64" s="169">
        <f>D56-SUM(D57:D63)</f>
        <v>547</v>
      </c>
      <c r="E64" s="169">
        <f>E56-SUM(E57:E63)</f>
        <v>552</v>
      </c>
      <c r="F64" s="169">
        <f>F56-SUM(F57:F63)</f>
        <v>717</v>
      </c>
      <c r="G64" s="169">
        <f>G56-SUM(G57:G63)</f>
        <v>852</v>
      </c>
      <c r="H64" s="170">
        <f t="shared" si="8"/>
        <v>0.18828451882845187</v>
      </c>
      <c r="I64" s="170">
        <f t="shared" si="9"/>
        <v>1.5195562610355099E-3</v>
      </c>
    </row>
    <row r="65" spans="2:9" x14ac:dyDescent="0.25">
      <c r="B65" s="155" t="s">
        <v>49</v>
      </c>
      <c r="C65" s="174"/>
      <c r="D65" s="174"/>
      <c r="E65" s="174"/>
      <c r="F65" s="174"/>
      <c r="G65" s="174"/>
      <c r="H65" s="175"/>
      <c r="I65" s="175"/>
    </row>
    <row r="66" spans="2:9" x14ac:dyDescent="0.25">
      <c r="B66" s="156" t="s">
        <v>73</v>
      </c>
      <c r="C66" s="176">
        <v>27893</v>
      </c>
      <c r="D66" s="176">
        <v>18885</v>
      </c>
      <c r="E66" s="176">
        <v>19100</v>
      </c>
      <c r="F66" s="176">
        <v>20231</v>
      </c>
      <c r="G66" s="176">
        <v>19381</v>
      </c>
      <c r="H66" s="177">
        <f t="shared" ref="H66:H78" si="10">IFERROR(G66/F66-1,"-")</f>
        <v>-4.2014729870001433E-2</v>
      </c>
      <c r="I66" s="177">
        <f t="shared" ref="I66:I78" si="11">G66/G$10</f>
        <v>3.4566337905081242E-2</v>
      </c>
    </row>
    <row r="67" spans="2:9" x14ac:dyDescent="0.25">
      <c r="B67" s="159" t="s">
        <v>102</v>
      </c>
      <c r="C67" s="160">
        <v>12732</v>
      </c>
      <c r="D67" s="160">
        <v>9757</v>
      </c>
      <c r="E67" s="160">
        <v>4578</v>
      </c>
      <c r="F67" s="160">
        <v>7294</v>
      </c>
      <c r="G67" s="160">
        <v>5345</v>
      </c>
      <c r="H67" s="161">
        <f t="shared" si="10"/>
        <v>-0.26720592267617216</v>
      </c>
      <c r="I67" s="161">
        <f t="shared" si="11"/>
        <v>9.5328969662380279E-3</v>
      </c>
    </row>
    <row r="68" spans="2:9" x14ac:dyDescent="0.25">
      <c r="B68" s="163" t="s">
        <v>108</v>
      </c>
      <c r="C68" s="164">
        <v>11475</v>
      </c>
      <c r="D68" s="164">
        <v>7450</v>
      </c>
      <c r="E68" s="164">
        <v>2063</v>
      </c>
      <c r="F68" s="164">
        <v>2741</v>
      </c>
      <c r="G68" s="164">
        <v>1969</v>
      </c>
      <c r="H68" s="165">
        <f t="shared" si="10"/>
        <v>-0.28164903319956225</v>
      </c>
      <c r="I68" s="165">
        <f t="shared" si="11"/>
        <v>3.5117444577217358E-3</v>
      </c>
    </row>
    <row r="69" spans="2:9" x14ac:dyDescent="0.25">
      <c r="B69" s="163" t="s">
        <v>105</v>
      </c>
      <c r="C69" s="164">
        <v>1257</v>
      </c>
      <c r="D69" s="164">
        <v>2307</v>
      </c>
      <c r="E69" s="164">
        <v>2515</v>
      </c>
      <c r="F69" s="164">
        <v>4553</v>
      </c>
      <c r="G69" s="164">
        <v>3376</v>
      </c>
      <c r="H69" s="165">
        <f t="shared" si="10"/>
        <v>-0.25851087195255873</v>
      </c>
      <c r="I69" s="165">
        <f t="shared" si="11"/>
        <v>6.0211525085162925E-3</v>
      </c>
    </row>
    <row r="70" spans="2:9" x14ac:dyDescent="0.25">
      <c r="B70" s="159" t="s">
        <v>112</v>
      </c>
      <c r="C70" s="160">
        <v>15161</v>
      </c>
      <c r="D70" s="160">
        <v>9128</v>
      </c>
      <c r="E70" s="160">
        <v>14522</v>
      </c>
      <c r="F70" s="160">
        <v>12937</v>
      </c>
      <c r="G70" s="160">
        <v>14036</v>
      </c>
      <c r="H70" s="161">
        <f t="shared" si="10"/>
        <v>8.4950143000695588E-2</v>
      </c>
      <c r="I70" s="161">
        <f t="shared" si="11"/>
        <v>2.5033440938843212E-2</v>
      </c>
    </row>
    <row r="71" spans="2:9" x14ac:dyDescent="0.25">
      <c r="B71" s="163" t="s">
        <v>115</v>
      </c>
      <c r="C71" s="164">
        <v>8685</v>
      </c>
      <c r="D71" s="164">
        <v>4495</v>
      </c>
      <c r="E71" s="164">
        <v>8571</v>
      </c>
      <c r="F71" s="164">
        <v>7350</v>
      </c>
      <c r="G71" s="164">
        <v>7891</v>
      </c>
      <c r="H71" s="165">
        <f t="shared" si="10"/>
        <v>7.3605442176870817E-2</v>
      </c>
      <c r="I71" s="165">
        <f t="shared" si="11"/>
        <v>1.4073730581961512E-2</v>
      </c>
    </row>
    <row r="72" spans="2:9" x14ac:dyDescent="0.25">
      <c r="B72" s="163" t="s">
        <v>118</v>
      </c>
      <c r="C72" s="164">
        <v>237</v>
      </c>
      <c r="D72" s="164">
        <v>1425</v>
      </c>
      <c r="E72" s="164">
        <v>747</v>
      </c>
      <c r="F72" s="164">
        <v>614</v>
      </c>
      <c r="G72" s="164">
        <v>650</v>
      </c>
      <c r="H72" s="165">
        <f t="shared" si="10"/>
        <v>5.8631921824104261E-2</v>
      </c>
      <c r="I72" s="165">
        <f t="shared" si="11"/>
        <v>1.159285879897983E-3</v>
      </c>
    </row>
    <row r="73" spans="2:9" x14ac:dyDescent="0.25">
      <c r="B73" s="163" t="s">
        <v>121</v>
      </c>
      <c r="C73" s="164">
        <v>1882</v>
      </c>
      <c r="D73" s="164">
        <v>349</v>
      </c>
      <c r="E73" s="164">
        <v>1006</v>
      </c>
      <c r="F73" s="164">
        <v>925</v>
      </c>
      <c r="G73" s="164">
        <v>922</v>
      </c>
      <c r="H73" s="165">
        <f t="shared" si="10"/>
        <v>-3.2432432432432101E-3</v>
      </c>
      <c r="I73" s="165">
        <f t="shared" si="11"/>
        <v>1.644402432716831E-3</v>
      </c>
    </row>
    <row r="74" spans="2:9" x14ac:dyDescent="0.25">
      <c r="B74" s="163" t="s">
        <v>128</v>
      </c>
      <c r="C74" s="164">
        <v>275</v>
      </c>
      <c r="D74" s="164">
        <v>422</v>
      </c>
      <c r="E74" s="164">
        <v>278</v>
      </c>
      <c r="F74" s="164">
        <v>544</v>
      </c>
      <c r="G74" s="164">
        <v>586</v>
      </c>
      <c r="H74" s="165">
        <f t="shared" si="10"/>
        <v>7.7205882352941124E-2</v>
      </c>
      <c r="I74" s="165">
        <f t="shared" si="11"/>
        <v>1.0451408086464891E-3</v>
      </c>
    </row>
    <row r="75" spans="2:9" x14ac:dyDescent="0.25">
      <c r="B75" s="163" t="s">
        <v>124</v>
      </c>
      <c r="C75" s="164">
        <v>569</v>
      </c>
      <c r="D75" s="164">
        <v>142</v>
      </c>
      <c r="E75" s="164">
        <v>514</v>
      </c>
      <c r="F75" s="164">
        <v>231</v>
      </c>
      <c r="G75" s="164">
        <v>261</v>
      </c>
      <c r="H75" s="165">
        <f t="shared" si="10"/>
        <v>0.12987012987012991</v>
      </c>
      <c r="I75" s="165">
        <f t="shared" si="11"/>
        <v>4.6549786869749772E-4</v>
      </c>
    </row>
    <row r="76" spans="2:9" x14ac:dyDescent="0.25">
      <c r="B76" s="163" t="s">
        <v>133</v>
      </c>
      <c r="C76" s="164">
        <v>13</v>
      </c>
      <c r="D76" s="164">
        <v>10</v>
      </c>
      <c r="E76" s="164">
        <v>4</v>
      </c>
      <c r="F76" s="164">
        <v>85</v>
      </c>
      <c r="G76" s="164">
        <v>31</v>
      </c>
      <c r="H76" s="165">
        <f t="shared" si="10"/>
        <v>-0.63529411764705879</v>
      </c>
      <c r="I76" s="165">
        <f t="shared" si="11"/>
        <v>5.5289018887442261E-5</v>
      </c>
    </row>
    <row r="77" spans="2:9" x14ac:dyDescent="0.25">
      <c r="B77" s="163" t="s">
        <v>136</v>
      </c>
      <c r="C77" s="164">
        <v>10</v>
      </c>
      <c r="D77" s="164">
        <v>8</v>
      </c>
      <c r="E77" s="164">
        <v>0</v>
      </c>
      <c r="F77" s="164">
        <v>71</v>
      </c>
      <c r="G77" s="164">
        <v>31</v>
      </c>
      <c r="H77" s="165">
        <f t="shared" si="10"/>
        <v>-0.56338028169014087</v>
      </c>
      <c r="I77" s="165">
        <f t="shared" si="11"/>
        <v>5.5289018887442261E-5</v>
      </c>
    </row>
    <row r="78" spans="2:9" x14ac:dyDescent="0.25">
      <c r="B78" s="168" t="s">
        <v>150</v>
      </c>
      <c r="C78" s="169">
        <f>C70-SUM(C71:C77)</f>
        <v>3490</v>
      </c>
      <c r="D78" s="169">
        <f>D70-SUM(D71:D77)</f>
        <v>2277</v>
      </c>
      <c r="E78" s="169">
        <f>E70-SUM(E71:E77)</f>
        <v>3402</v>
      </c>
      <c r="F78" s="169">
        <f>F70-SUM(F71:F77)</f>
        <v>3117</v>
      </c>
      <c r="G78" s="169">
        <f>G70-SUM(G71:G77)</f>
        <v>3664</v>
      </c>
      <c r="H78" s="170">
        <f t="shared" si="10"/>
        <v>0.17548925248636515</v>
      </c>
      <c r="I78" s="170">
        <f t="shared" si="11"/>
        <v>6.5348053291480138E-3</v>
      </c>
    </row>
    <row r="79" spans="2:9" x14ac:dyDescent="0.25">
      <c r="B79" s="155" t="s">
        <v>50</v>
      </c>
      <c r="C79" s="174"/>
      <c r="D79" s="174"/>
      <c r="E79" s="174"/>
      <c r="F79" s="174"/>
      <c r="G79" s="174"/>
      <c r="H79" s="175"/>
      <c r="I79" s="175"/>
    </row>
    <row r="80" spans="2:9" x14ac:dyDescent="0.25">
      <c r="B80" s="156" t="s">
        <v>73</v>
      </c>
      <c r="C80" s="176">
        <v>84199</v>
      </c>
      <c r="D80" s="176">
        <v>89287</v>
      </c>
      <c r="E80" s="176">
        <v>101084</v>
      </c>
      <c r="F80" s="176">
        <v>105253</v>
      </c>
      <c r="G80" s="176">
        <v>98430</v>
      </c>
      <c r="H80" s="177">
        <f t="shared" ref="H80:H92" si="12">IFERROR(G80/F80-1,"-")</f>
        <v>-6.4824755588914318E-2</v>
      </c>
      <c r="I80" s="177">
        <f t="shared" ref="I80:I92" si="13">G80/G$10</f>
        <v>0.17555155255132068</v>
      </c>
    </row>
    <row r="81" spans="2:9" x14ac:dyDescent="0.25">
      <c r="B81" s="159" t="s">
        <v>102</v>
      </c>
      <c r="C81" s="160">
        <v>49388</v>
      </c>
      <c r="D81" s="160">
        <v>48313</v>
      </c>
      <c r="E81" s="160">
        <v>49842</v>
      </c>
      <c r="F81" s="160">
        <v>54564</v>
      </c>
      <c r="G81" s="160">
        <v>51308</v>
      </c>
      <c r="H81" s="161">
        <f t="shared" si="12"/>
        <v>-5.9673044498203986E-2</v>
      </c>
      <c r="I81" s="161">
        <f t="shared" si="13"/>
        <v>9.1508676808931849E-2</v>
      </c>
    </row>
    <row r="82" spans="2:9" x14ac:dyDescent="0.25">
      <c r="B82" s="163" t="s">
        <v>108</v>
      </c>
      <c r="C82" s="164">
        <v>16867</v>
      </c>
      <c r="D82" s="164">
        <v>15550</v>
      </c>
      <c r="E82" s="164">
        <v>15712</v>
      </c>
      <c r="F82" s="164">
        <v>14785</v>
      </c>
      <c r="G82" s="164">
        <v>18730</v>
      </c>
      <c r="H82" s="165">
        <f t="shared" si="12"/>
        <v>0.26682448427460259</v>
      </c>
      <c r="I82" s="165">
        <f t="shared" si="13"/>
        <v>3.3405268508444955E-2</v>
      </c>
    </row>
    <row r="83" spans="2:9" x14ac:dyDescent="0.25">
      <c r="B83" s="163" t="s">
        <v>105</v>
      </c>
      <c r="C83" s="164">
        <v>32521</v>
      </c>
      <c r="D83" s="164">
        <v>32763</v>
      </c>
      <c r="E83" s="164">
        <v>34130</v>
      </c>
      <c r="F83" s="164">
        <v>39779</v>
      </c>
      <c r="G83" s="164">
        <v>32578</v>
      </c>
      <c r="H83" s="165">
        <f t="shared" si="12"/>
        <v>-0.18102516403127278</v>
      </c>
      <c r="I83" s="165">
        <f t="shared" si="13"/>
        <v>5.8103408300486901E-2</v>
      </c>
    </row>
    <row r="84" spans="2:9" x14ac:dyDescent="0.25">
      <c r="B84" s="159" t="s">
        <v>112</v>
      </c>
      <c r="C84" s="160">
        <v>34811</v>
      </c>
      <c r="D84" s="160">
        <v>40974</v>
      </c>
      <c r="E84" s="160">
        <v>51242</v>
      </c>
      <c r="F84" s="160">
        <v>50689</v>
      </c>
      <c r="G84" s="160">
        <v>47122</v>
      </c>
      <c r="H84" s="161">
        <f t="shared" si="12"/>
        <v>-7.0370297303162466E-2</v>
      </c>
      <c r="I84" s="161">
        <f t="shared" si="13"/>
        <v>8.4042875742388848E-2</v>
      </c>
    </row>
    <row r="85" spans="2:9" x14ac:dyDescent="0.25">
      <c r="B85" s="163" t="s">
        <v>115</v>
      </c>
      <c r="C85" s="164">
        <v>8917</v>
      </c>
      <c r="D85" s="164">
        <v>10199</v>
      </c>
      <c r="E85" s="164">
        <v>12336</v>
      </c>
      <c r="F85" s="164">
        <v>14880</v>
      </c>
      <c r="G85" s="164">
        <v>13168</v>
      </c>
      <c r="H85" s="165">
        <f t="shared" si="12"/>
        <v>-0.11505376344086027</v>
      </c>
      <c r="I85" s="165">
        <f t="shared" si="13"/>
        <v>2.3485348409994829E-2</v>
      </c>
    </row>
    <row r="86" spans="2:9" x14ac:dyDescent="0.25">
      <c r="B86" s="163" t="s">
        <v>118</v>
      </c>
      <c r="C86" s="164">
        <v>9215</v>
      </c>
      <c r="D86" s="164">
        <v>9078</v>
      </c>
      <c r="E86" s="164">
        <v>9969</v>
      </c>
      <c r="F86" s="164">
        <v>8860</v>
      </c>
      <c r="G86" s="164">
        <v>7941</v>
      </c>
      <c r="H86" s="165">
        <f t="shared" si="12"/>
        <v>-0.10372460496614</v>
      </c>
      <c r="I86" s="165">
        <f t="shared" si="13"/>
        <v>1.4162906418876742E-2</v>
      </c>
    </row>
    <row r="87" spans="2:9" x14ac:dyDescent="0.25">
      <c r="B87" s="163" t="s">
        <v>121</v>
      </c>
      <c r="C87" s="164">
        <v>2595</v>
      </c>
      <c r="D87" s="164">
        <v>3302</v>
      </c>
      <c r="E87" s="164">
        <v>6368</v>
      </c>
      <c r="F87" s="164">
        <v>6151</v>
      </c>
      <c r="G87" s="164">
        <v>6397</v>
      </c>
      <c r="H87" s="165">
        <f t="shared" si="12"/>
        <v>3.999349699235899E-2</v>
      </c>
      <c r="I87" s="165">
        <f t="shared" si="13"/>
        <v>1.1409156574934456E-2</v>
      </c>
    </row>
    <row r="88" spans="2:9" x14ac:dyDescent="0.25">
      <c r="B88" s="163" t="s">
        <v>128</v>
      </c>
      <c r="C88" s="164">
        <v>1125</v>
      </c>
      <c r="D88" s="164">
        <v>1457</v>
      </c>
      <c r="E88" s="164">
        <v>2772</v>
      </c>
      <c r="F88" s="164">
        <v>1916</v>
      </c>
      <c r="G88" s="164">
        <v>2004</v>
      </c>
      <c r="H88" s="165">
        <f t="shared" si="12"/>
        <v>4.5929018789144127E-2</v>
      </c>
      <c r="I88" s="165">
        <f t="shared" si="13"/>
        <v>3.5741675435623965E-3</v>
      </c>
    </row>
    <row r="89" spans="2:9" x14ac:dyDescent="0.25">
      <c r="B89" s="163" t="s">
        <v>124</v>
      </c>
      <c r="C89" s="164">
        <v>588</v>
      </c>
      <c r="D89" s="164">
        <v>959</v>
      </c>
      <c r="E89" s="164">
        <v>1365</v>
      </c>
      <c r="F89" s="164">
        <v>1121</v>
      </c>
      <c r="G89" s="164">
        <v>1290</v>
      </c>
      <c r="H89" s="165">
        <f t="shared" si="12"/>
        <v>0.15075825156110612</v>
      </c>
      <c r="I89" s="165">
        <f t="shared" si="13"/>
        <v>2.3007365924129198E-3</v>
      </c>
    </row>
    <row r="90" spans="2:9" x14ac:dyDescent="0.25">
      <c r="B90" s="163" t="s">
        <v>133</v>
      </c>
      <c r="C90" s="164">
        <v>437</v>
      </c>
      <c r="D90" s="164">
        <v>183</v>
      </c>
      <c r="E90" s="164">
        <v>247</v>
      </c>
      <c r="F90" s="164">
        <v>405</v>
      </c>
      <c r="G90" s="164">
        <v>188</v>
      </c>
      <c r="H90" s="165">
        <f t="shared" si="12"/>
        <v>-0.53580246913580254</v>
      </c>
      <c r="I90" s="165">
        <f t="shared" si="13"/>
        <v>3.3530114680126275E-4</v>
      </c>
    </row>
    <row r="91" spans="2:9" x14ac:dyDescent="0.25">
      <c r="B91" s="163" t="s">
        <v>136</v>
      </c>
      <c r="C91" s="164">
        <v>166</v>
      </c>
      <c r="D91" s="164">
        <v>173</v>
      </c>
      <c r="E91" s="164">
        <v>98</v>
      </c>
      <c r="F91" s="164">
        <v>69</v>
      </c>
      <c r="G91" s="164">
        <v>87</v>
      </c>
      <c r="H91" s="165">
        <f t="shared" si="12"/>
        <v>0.26086956521739135</v>
      </c>
      <c r="I91" s="165">
        <f t="shared" si="13"/>
        <v>1.5516595623249924E-4</v>
      </c>
    </row>
    <row r="92" spans="2:9" x14ac:dyDescent="0.25">
      <c r="B92" s="168" t="s">
        <v>150</v>
      </c>
      <c r="C92" s="169">
        <f>C84-SUM(C85:C91)</f>
        <v>11768</v>
      </c>
      <c r="D92" s="169">
        <f>D84-SUM(D85:D91)</f>
        <v>15623</v>
      </c>
      <c r="E92" s="169">
        <f>E84-SUM(E85:E91)</f>
        <v>18087</v>
      </c>
      <c r="F92" s="169">
        <f>F84-SUM(F85:F91)</f>
        <v>17287</v>
      </c>
      <c r="G92" s="169">
        <f>G84-SUM(G85:G91)</f>
        <v>16047</v>
      </c>
      <c r="H92" s="170">
        <f t="shared" si="12"/>
        <v>-7.1730201885810141E-2</v>
      </c>
      <c r="I92" s="170">
        <f t="shared" si="13"/>
        <v>2.8620093099573741E-2</v>
      </c>
    </row>
    <row r="93" spans="2:9" x14ac:dyDescent="0.25">
      <c r="B93" s="155" t="s">
        <v>51</v>
      </c>
      <c r="C93" s="174"/>
      <c r="D93" s="174"/>
      <c r="E93" s="174"/>
      <c r="F93" s="174"/>
      <c r="G93" s="174"/>
      <c r="H93" s="175"/>
      <c r="I93" s="175"/>
    </row>
    <row r="94" spans="2:9" x14ac:dyDescent="0.25">
      <c r="B94" s="156" t="s">
        <v>73</v>
      </c>
      <c r="C94" s="176">
        <v>4460</v>
      </c>
      <c r="D94" s="176">
        <v>4564</v>
      </c>
      <c r="E94" s="176">
        <v>4705</v>
      </c>
      <c r="F94" s="176">
        <v>3825</v>
      </c>
      <c r="G94" s="176">
        <v>3205</v>
      </c>
      <c r="H94" s="177">
        <f t="shared" ref="H94:H106" si="14">IFERROR(G94/F94-1,"-")</f>
        <v>-0.16209150326797384</v>
      </c>
      <c r="I94" s="177">
        <f t="shared" ref="I94:I106" si="15">G94/G$10</f>
        <v>5.7161711462662074E-3</v>
      </c>
    </row>
    <row r="95" spans="2:9" x14ac:dyDescent="0.25">
      <c r="B95" s="159" t="s">
        <v>102</v>
      </c>
      <c r="C95" s="160">
        <v>3404</v>
      </c>
      <c r="D95" s="160">
        <v>3332</v>
      </c>
      <c r="E95" s="160">
        <v>3522</v>
      </c>
      <c r="F95" s="160">
        <v>2586</v>
      </c>
      <c r="G95" s="160">
        <v>2274</v>
      </c>
      <c r="H95" s="161">
        <f t="shared" si="14"/>
        <v>-0.12064965197215782</v>
      </c>
      <c r="I95" s="161">
        <f t="shared" si="15"/>
        <v>4.055717062904635E-3</v>
      </c>
    </row>
    <row r="96" spans="2:9" x14ac:dyDescent="0.25">
      <c r="B96" s="163" t="s">
        <v>108</v>
      </c>
      <c r="C96" s="164">
        <v>1737</v>
      </c>
      <c r="D96" s="164">
        <v>1249</v>
      </c>
      <c r="E96" s="164">
        <v>1629</v>
      </c>
      <c r="F96" s="164">
        <v>869</v>
      </c>
      <c r="G96" s="164">
        <v>1056</v>
      </c>
      <c r="H96" s="165">
        <f t="shared" si="14"/>
        <v>0.21518987341772156</v>
      </c>
      <c r="I96" s="165">
        <f t="shared" si="15"/>
        <v>1.883393675649646E-3</v>
      </c>
    </row>
    <row r="97" spans="2:9" x14ac:dyDescent="0.25">
      <c r="B97" s="163" t="s">
        <v>105</v>
      </c>
      <c r="C97" s="164">
        <v>1667</v>
      </c>
      <c r="D97" s="164">
        <v>2083</v>
      </c>
      <c r="E97" s="164">
        <v>1893</v>
      </c>
      <c r="F97" s="164">
        <v>1717</v>
      </c>
      <c r="G97" s="164">
        <v>1218</v>
      </c>
      <c r="H97" s="165">
        <f t="shared" si="14"/>
        <v>-0.29062317996505538</v>
      </c>
      <c r="I97" s="165">
        <f t="shared" si="15"/>
        <v>2.1723233872549892E-3</v>
      </c>
    </row>
    <row r="98" spans="2:9" x14ac:dyDescent="0.25">
      <c r="B98" s="159" t="s">
        <v>112</v>
      </c>
      <c r="C98" s="160">
        <v>1056</v>
      </c>
      <c r="D98" s="160">
        <v>1232</v>
      </c>
      <c r="E98" s="160">
        <v>1183</v>
      </c>
      <c r="F98" s="160">
        <v>1239</v>
      </c>
      <c r="G98" s="160">
        <v>931</v>
      </c>
      <c r="H98" s="161">
        <f t="shared" si="14"/>
        <v>-0.24858757062146897</v>
      </c>
      <c r="I98" s="161">
        <f t="shared" si="15"/>
        <v>1.6604540833615724E-3</v>
      </c>
    </row>
    <row r="99" spans="2:9" x14ac:dyDescent="0.25">
      <c r="B99" s="163" t="s">
        <v>115</v>
      </c>
      <c r="C99" s="164">
        <v>101</v>
      </c>
      <c r="D99" s="164">
        <v>174</v>
      </c>
      <c r="E99" s="164">
        <v>160</v>
      </c>
      <c r="F99" s="164">
        <v>140</v>
      </c>
      <c r="G99" s="164">
        <v>65</v>
      </c>
      <c r="H99" s="165">
        <f t="shared" si="14"/>
        <v>-0.5357142857142857</v>
      </c>
      <c r="I99" s="165">
        <f t="shared" si="15"/>
        <v>1.1592858798979828E-4</v>
      </c>
    </row>
    <row r="100" spans="2:9" x14ac:dyDescent="0.25">
      <c r="B100" s="163" t="s">
        <v>118</v>
      </c>
      <c r="C100" s="164">
        <v>159</v>
      </c>
      <c r="D100" s="164">
        <v>128</v>
      </c>
      <c r="E100" s="164">
        <v>126</v>
      </c>
      <c r="F100" s="164">
        <v>130</v>
      </c>
      <c r="G100" s="164">
        <v>138</v>
      </c>
      <c r="H100" s="165">
        <f t="shared" si="14"/>
        <v>6.1538461538461542E-2</v>
      </c>
      <c r="I100" s="165">
        <f t="shared" si="15"/>
        <v>2.4612530988603326E-4</v>
      </c>
    </row>
    <row r="101" spans="2:9" x14ac:dyDescent="0.25">
      <c r="B101" s="163" t="s">
        <v>121</v>
      </c>
      <c r="C101" s="164">
        <v>201</v>
      </c>
      <c r="D101" s="164">
        <v>190</v>
      </c>
      <c r="E101" s="164">
        <v>188</v>
      </c>
      <c r="F101" s="164">
        <v>146</v>
      </c>
      <c r="G101" s="164">
        <v>172</v>
      </c>
      <c r="H101" s="165">
        <f t="shared" si="14"/>
        <v>0.17808219178082196</v>
      </c>
      <c r="I101" s="165">
        <f t="shared" si="15"/>
        <v>3.067648789883893E-4</v>
      </c>
    </row>
    <row r="102" spans="2:9" x14ac:dyDescent="0.25">
      <c r="B102" s="163" t="s">
        <v>128</v>
      </c>
      <c r="C102" s="164">
        <v>55</v>
      </c>
      <c r="D102" s="164">
        <v>44</v>
      </c>
      <c r="E102" s="164">
        <v>35</v>
      </c>
      <c r="F102" s="164">
        <v>46</v>
      </c>
      <c r="G102" s="164">
        <v>32</v>
      </c>
      <c r="H102" s="165">
        <f t="shared" si="14"/>
        <v>-0.30434782608695654</v>
      </c>
      <c r="I102" s="165">
        <f t="shared" si="15"/>
        <v>5.7072535625746845E-5</v>
      </c>
    </row>
    <row r="103" spans="2:9" x14ac:dyDescent="0.25">
      <c r="B103" s="163" t="s">
        <v>124</v>
      </c>
      <c r="C103" s="164">
        <v>62</v>
      </c>
      <c r="D103" s="164">
        <v>43</v>
      </c>
      <c r="E103" s="164">
        <v>25</v>
      </c>
      <c r="F103" s="164">
        <v>41</v>
      </c>
      <c r="G103" s="164">
        <v>46</v>
      </c>
      <c r="H103" s="165">
        <f t="shared" si="14"/>
        <v>0.12195121951219523</v>
      </c>
      <c r="I103" s="165">
        <f t="shared" si="15"/>
        <v>8.2041769962011097E-5</v>
      </c>
    </row>
    <row r="104" spans="2:9" x14ac:dyDescent="0.25">
      <c r="B104" s="163" t="s">
        <v>133</v>
      </c>
      <c r="C104" s="164">
        <v>8</v>
      </c>
      <c r="D104" s="164">
        <v>9</v>
      </c>
      <c r="E104" s="164">
        <v>12</v>
      </c>
      <c r="F104" s="164">
        <v>27</v>
      </c>
      <c r="G104" s="164">
        <v>1</v>
      </c>
      <c r="H104" s="165">
        <f t="shared" si="14"/>
        <v>-0.96296296296296302</v>
      </c>
      <c r="I104" s="165">
        <f t="shared" si="15"/>
        <v>1.7835167383045889E-6</v>
      </c>
    </row>
    <row r="105" spans="2:9" x14ac:dyDescent="0.25">
      <c r="B105" s="163" t="s">
        <v>136</v>
      </c>
      <c r="C105" s="164">
        <v>5</v>
      </c>
      <c r="D105" s="164">
        <v>9</v>
      </c>
      <c r="E105" s="164">
        <v>2</v>
      </c>
      <c r="F105" s="164">
        <v>6</v>
      </c>
      <c r="G105" s="164">
        <v>4</v>
      </c>
      <c r="H105" s="165">
        <f t="shared" si="14"/>
        <v>-0.33333333333333337</v>
      </c>
      <c r="I105" s="165">
        <f t="shared" si="15"/>
        <v>7.1340669532183557E-6</v>
      </c>
    </row>
    <row r="106" spans="2:9" x14ac:dyDescent="0.25">
      <c r="B106" s="168" t="s">
        <v>150</v>
      </c>
      <c r="C106" s="169">
        <f>C98-SUM(C99:C105)</f>
        <v>465</v>
      </c>
      <c r="D106" s="169">
        <f>D98-SUM(D99:D105)</f>
        <v>635</v>
      </c>
      <c r="E106" s="169">
        <f>E98-SUM(E99:E105)</f>
        <v>635</v>
      </c>
      <c r="F106" s="169">
        <f>F98-SUM(F99:F105)</f>
        <v>703</v>
      </c>
      <c r="G106" s="169">
        <f>G98-SUM(G99:G105)</f>
        <v>473</v>
      </c>
      <c r="H106" s="170">
        <f t="shared" si="14"/>
        <v>-0.32716927453769562</v>
      </c>
      <c r="I106" s="170">
        <f t="shared" si="15"/>
        <v>8.4360341721807059E-4</v>
      </c>
    </row>
    <row r="107" spans="2:9" x14ac:dyDescent="0.25">
      <c r="B107" s="155" t="s">
        <v>52</v>
      </c>
      <c r="C107" s="174"/>
      <c r="D107" s="174"/>
      <c r="E107" s="174"/>
      <c r="F107" s="174"/>
      <c r="G107" s="174"/>
      <c r="H107" s="175"/>
      <c r="I107" s="175"/>
    </row>
    <row r="108" spans="2:9" x14ac:dyDescent="0.25">
      <c r="B108" s="156" t="s">
        <v>73</v>
      </c>
      <c r="C108" s="176">
        <v>17775</v>
      </c>
      <c r="D108" s="176">
        <v>24316</v>
      </c>
      <c r="E108" s="176">
        <v>23859</v>
      </c>
      <c r="F108" s="176">
        <v>25818</v>
      </c>
      <c r="G108" s="176">
        <v>24617</v>
      </c>
      <c r="H108" s="177">
        <f t="shared" ref="H108:H120" si="16">IFERROR(G108/F108-1,"-")</f>
        <v>-4.6517933224881847E-2</v>
      </c>
      <c r="I108" s="177">
        <f t="shared" ref="I108:I120" si="17">G108/G$10</f>
        <v>4.3904831546844068E-2</v>
      </c>
    </row>
    <row r="109" spans="2:9" x14ac:dyDescent="0.25">
      <c r="B109" s="159" t="s">
        <v>102</v>
      </c>
      <c r="C109" s="160">
        <v>5780</v>
      </c>
      <c r="D109" s="160">
        <v>7532</v>
      </c>
      <c r="E109" s="160">
        <v>6028</v>
      </c>
      <c r="F109" s="160">
        <v>7224</v>
      </c>
      <c r="G109" s="160">
        <v>5884</v>
      </c>
      <c r="H109" s="161">
        <f t="shared" si="16"/>
        <v>-0.18549280177187155</v>
      </c>
      <c r="I109" s="161">
        <f t="shared" si="17"/>
        <v>1.0494212488184202E-2</v>
      </c>
    </row>
    <row r="110" spans="2:9" x14ac:dyDescent="0.25">
      <c r="B110" s="163" t="s">
        <v>108</v>
      </c>
      <c r="C110" s="164">
        <v>1312</v>
      </c>
      <c r="D110" s="164">
        <v>3177</v>
      </c>
      <c r="E110" s="164">
        <v>2143</v>
      </c>
      <c r="F110" s="164">
        <v>2928</v>
      </c>
      <c r="G110" s="164">
        <v>3553</v>
      </c>
      <c r="H110" s="165">
        <f t="shared" si="16"/>
        <v>0.21345628415300544</v>
      </c>
      <c r="I110" s="165">
        <f t="shared" si="17"/>
        <v>6.3368349711962046E-3</v>
      </c>
    </row>
    <row r="111" spans="2:9" x14ac:dyDescent="0.25">
      <c r="B111" s="163" t="s">
        <v>105</v>
      </c>
      <c r="C111" s="164">
        <v>4468</v>
      </c>
      <c r="D111" s="164">
        <v>4355</v>
      </c>
      <c r="E111" s="164">
        <v>3885</v>
      </c>
      <c r="F111" s="164">
        <v>4296</v>
      </c>
      <c r="G111" s="164">
        <v>2331</v>
      </c>
      <c r="H111" s="165">
        <f t="shared" si="16"/>
        <v>-0.45740223463687146</v>
      </c>
      <c r="I111" s="165">
        <f t="shared" si="17"/>
        <v>4.157377516987997E-3</v>
      </c>
    </row>
    <row r="112" spans="2:9" x14ac:dyDescent="0.25">
      <c r="B112" s="159" t="s">
        <v>112</v>
      </c>
      <c r="C112" s="160">
        <v>11995</v>
      </c>
      <c r="D112" s="160">
        <v>16784</v>
      </c>
      <c r="E112" s="160">
        <v>17831</v>
      </c>
      <c r="F112" s="160">
        <v>18594</v>
      </c>
      <c r="G112" s="160">
        <v>18733</v>
      </c>
      <c r="H112" s="161">
        <f t="shared" si="16"/>
        <v>7.4755297407766985E-3</v>
      </c>
      <c r="I112" s="161">
        <f t="shared" si="17"/>
        <v>3.3410619058659864E-2</v>
      </c>
    </row>
    <row r="113" spans="2:9" x14ac:dyDescent="0.25">
      <c r="B113" s="163" t="s">
        <v>115</v>
      </c>
      <c r="C113" s="164">
        <v>7409</v>
      </c>
      <c r="D113" s="164">
        <v>11006</v>
      </c>
      <c r="E113" s="164">
        <v>11723</v>
      </c>
      <c r="F113" s="164">
        <v>12035</v>
      </c>
      <c r="G113" s="164">
        <v>12516</v>
      </c>
      <c r="H113" s="165">
        <f t="shared" si="16"/>
        <v>3.9966763606148703E-2</v>
      </c>
      <c r="I113" s="165">
        <f t="shared" si="17"/>
        <v>2.2322495496620236E-2</v>
      </c>
    </row>
    <row r="114" spans="2:9" x14ac:dyDescent="0.25">
      <c r="B114" s="163" t="s">
        <v>118</v>
      </c>
      <c r="C114" s="164">
        <v>315</v>
      </c>
      <c r="D114" s="164">
        <v>405</v>
      </c>
      <c r="E114" s="164">
        <v>602</v>
      </c>
      <c r="F114" s="164">
        <v>663</v>
      </c>
      <c r="G114" s="164">
        <v>538</v>
      </c>
      <c r="H114" s="165">
        <f t="shared" si="16"/>
        <v>-0.18853695324283559</v>
      </c>
      <c r="I114" s="165">
        <f t="shared" si="17"/>
        <v>9.5953200520786889E-4</v>
      </c>
    </row>
    <row r="115" spans="2:9" x14ac:dyDescent="0.25">
      <c r="B115" s="163" t="s">
        <v>121</v>
      </c>
      <c r="C115" s="164">
        <v>554</v>
      </c>
      <c r="D115" s="164">
        <v>840</v>
      </c>
      <c r="E115" s="164">
        <v>1350</v>
      </c>
      <c r="F115" s="164">
        <v>1566</v>
      </c>
      <c r="G115" s="164">
        <v>1341</v>
      </c>
      <c r="H115" s="165">
        <f t="shared" si="16"/>
        <v>-0.14367816091954022</v>
      </c>
      <c r="I115" s="165">
        <f t="shared" si="17"/>
        <v>2.391695946066454E-3</v>
      </c>
    </row>
    <row r="116" spans="2:9" x14ac:dyDescent="0.25">
      <c r="B116" s="163" t="s">
        <v>128</v>
      </c>
      <c r="C116" s="164">
        <v>283</v>
      </c>
      <c r="D116" s="164">
        <v>444</v>
      </c>
      <c r="E116" s="164">
        <v>333</v>
      </c>
      <c r="F116" s="164">
        <v>590</v>
      </c>
      <c r="G116" s="164">
        <v>438</v>
      </c>
      <c r="H116" s="165">
        <f t="shared" si="16"/>
        <v>-0.25762711864406784</v>
      </c>
      <c r="I116" s="165">
        <f t="shared" si="17"/>
        <v>7.8118033137741002E-4</v>
      </c>
    </row>
    <row r="117" spans="2:9" x14ac:dyDescent="0.25">
      <c r="B117" s="163" t="s">
        <v>124</v>
      </c>
      <c r="C117" s="164">
        <v>646</v>
      </c>
      <c r="D117" s="164">
        <v>1087</v>
      </c>
      <c r="E117" s="164">
        <v>382</v>
      </c>
      <c r="F117" s="164">
        <v>594</v>
      </c>
      <c r="G117" s="164">
        <v>261</v>
      </c>
      <c r="H117" s="165">
        <f t="shared" si="16"/>
        <v>-0.56060606060606055</v>
      </c>
      <c r="I117" s="165">
        <f t="shared" si="17"/>
        <v>4.6549786869749772E-4</v>
      </c>
    </row>
    <row r="118" spans="2:9" x14ac:dyDescent="0.25">
      <c r="B118" s="163" t="s">
        <v>133</v>
      </c>
      <c r="C118" s="164">
        <v>29</v>
      </c>
      <c r="D118" s="164">
        <v>153</v>
      </c>
      <c r="E118" s="164">
        <v>23</v>
      </c>
      <c r="F118" s="164">
        <v>49</v>
      </c>
      <c r="G118" s="164">
        <v>143</v>
      </c>
      <c r="H118" s="165">
        <f t="shared" si="16"/>
        <v>1.9183673469387754</v>
      </c>
      <c r="I118" s="165">
        <f t="shared" si="17"/>
        <v>2.5504289357755622E-4</v>
      </c>
    </row>
    <row r="119" spans="2:9" x14ac:dyDescent="0.25">
      <c r="B119" s="163" t="s">
        <v>136</v>
      </c>
      <c r="C119" s="164">
        <v>7</v>
      </c>
      <c r="D119" s="164">
        <v>18</v>
      </c>
      <c r="E119" s="164">
        <v>55</v>
      </c>
      <c r="F119" s="164">
        <v>21</v>
      </c>
      <c r="G119" s="164">
        <v>81</v>
      </c>
      <c r="H119" s="165">
        <f t="shared" si="16"/>
        <v>2.8571428571428572</v>
      </c>
      <c r="I119" s="165">
        <f t="shared" si="17"/>
        <v>1.4446485580267172E-4</v>
      </c>
    </row>
    <row r="120" spans="2:9" x14ac:dyDescent="0.25">
      <c r="B120" s="168" t="s">
        <v>150</v>
      </c>
      <c r="C120" s="169">
        <f>C112-SUM(C113:C119)</f>
        <v>2752</v>
      </c>
      <c r="D120" s="169">
        <f>D112-SUM(D113:D119)</f>
        <v>2831</v>
      </c>
      <c r="E120" s="169">
        <f>E112-SUM(E113:E119)</f>
        <v>3363</v>
      </c>
      <c r="F120" s="169">
        <f>F112-SUM(F113:F119)</f>
        <v>3076</v>
      </c>
      <c r="G120" s="169">
        <f>G112-SUM(G113:G119)</f>
        <v>3415</v>
      </c>
      <c r="H120" s="170">
        <f t="shared" si="16"/>
        <v>0.11020806241872561</v>
      </c>
      <c r="I120" s="170">
        <f t="shared" si="17"/>
        <v>6.0907096613101713E-3</v>
      </c>
    </row>
    <row r="121" spans="2:9" x14ac:dyDescent="0.25">
      <c r="B121" s="155" t="s">
        <v>53</v>
      </c>
      <c r="C121" s="174"/>
      <c r="D121" s="174"/>
      <c r="E121" s="174"/>
      <c r="F121" s="174"/>
      <c r="G121" s="174"/>
      <c r="H121" s="175"/>
      <c r="I121" s="175"/>
    </row>
    <row r="122" spans="2:9" x14ac:dyDescent="0.25">
      <c r="B122" s="156" t="s">
        <v>73</v>
      </c>
      <c r="C122" s="176">
        <v>18761</v>
      </c>
      <c r="D122" s="176">
        <v>18584</v>
      </c>
      <c r="E122" s="176">
        <v>22231</v>
      </c>
      <c r="F122" s="176">
        <v>24531</v>
      </c>
      <c r="G122" s="176">
        <v>22538</v>
      </c>
      <c r="H122" s="177">
        <f t="shared" ref="H122:H134" si="18">IFERROR(G122/F122-1,"-")</f>
        <v>-8.1244140067669446E-2</v>
      </c>
      <c r="I122" s="177">
        <f t="shared" ref="I122:I134" si="19">G122/G$10</f>
        <v>4.0196900247908826E-2</v>
      </c>
    </row>
    <row r="123" spans="2:9" x14ac:dyDescent="0.25">
      <c r="B123" s="159" t="s">
        <v>102</v>
      </c>
      <c r="C123" s="160">
        <v>12867</v>
      </c>
      <c r="D123" s="160">
        <v>13106</v>
      </c>
      <c r="E123" s="160">
        <v>16725</v>
      </c>
      <c r="F123" s="160">
        <v>18311</v>
      </c>
      <c r="G123" s="160">
        <v>17133</v>
      </c>
      <c r="H123" s="161">
        <f t="shared" si="18"/>
        <v>-6.4332914641472394E-2</v>
      </c>
      <c r="I123" s="161">
        <f t="shared" si="19"/>
        <v>3.0556992277372522E-2</v>
      </c>
    </row>
    <row r="124" spans="2:9" x14ac:dyDescent="0.25">
      <c r="B124" s="163" t="s">
        <v>108</v>
      </c>
      <c r="C124" s="164">
        <v>7496</v>
      </c>
      <c r="D124" s="164">
        <v>5669</v>
      </c>
      <c r="E124" s="164">
        <v>10068</v>
      </c>
      <c r="F124" s="164">
        <v>11323</v>
      </c>
      <c r="G124" s="164">
        <v>11468</v>
      </c>
      <c r="H124" s="165">
        <f t="shared" si="18"/>
        <v>1.2805793517618902E-2</v>
      </c>
      <c r="I124" s="165">
        <f t="shared" si="19"/>
        <v>2.0453369954877027E-2</v>
      </c>
    </row>
    <row r="125" spans="2:9" x14ac:dyDescent="0.25">
      <c r="B125" s="163" t="s">
        <v>105</v>
      </c>
      <c r="C125" s="164">
        <v>5371</v>
      </c>
      <c r="D125" s="164">
        <v>7437</v>
      </c>
      <c r="E125" s="164">
        <v>6657</v>
      </c>
      <c r="F125" s="164">
        <v>6988</v>
      </c>
      <c r="G125" s="164">
        <v>5665</v>
      </c>
      <c r="H125" s="165">
        <f t="shared" si="18"/>
        <v>-0.18932455638236978</v>
      </c>
      <c r="I125" s="165">
        <f t="shared" si="19"/>
        <v>1.0103622322495497E-2</v>
      </c>
    </row>
    <row r="126" spans="2:9" x14ac:dyDescent="0.25">
      <c r="B126" s="159" t="s">
        <v>112</v>
      </c>
      <c r="C126" s="160">
        <v>5894</v>
      </c>
      <c r="D126" s="160">
        <v>5478</v>
      </c>
      <c r="E126" s="160">
        <v>5506</v>
      </c>
      <c r="F126" s="160">
        <v>6220</v>
      </c>
      <c r="G126" s="160">
        <v>5405</v>
      </c>
      <c r="H126" s="161">
        <f t="shared" si="18"/>
        <v>-0.13102893890675238</v>
      </c>
      <c r="I126" s="161">
        <f t="shared" si="19"/>
        <v>9.6399079705363037E-3</v>
      </c>
    </row>
    <row r="127" spans="2:9" x14ac:dyDescent="0.25">
      <c r="B127" s="163" t="s">
        <v>115</v>
      </c>
      <c r="C127" s="164">
        <v>781</v>
      </c>
      <c r="D127" s="164">
        <v>697</v>
      </c>
      <c r="E127" s="164">
        <v>648</v>
      </c>
      <c r="F127" s="164">
        <v>640</v>
      </c>
      <c r="G127" s="164">
        <v>600</v>
      </c>
      <c r="H127" s="165">
        <f t="shared" si="18"/>
        <v>-6.25E-2</v>
      </c>
      <c r="I127" s="165">
        <f t="shared" si="19"/>
        <v>1.0701100429827534E-3</v>
      </c>
    </row>
    <row r="128" spans="2:9" x14ac:dyDescent="0.25">
      <c r="B128" s="163" t="s">
        <v>118</v>
      </c>
      <c r="C128" s="164">
        <v>489</v>
      </c>
      <c r="D128" s="164">
        <v>538</v>
      </c>
      <c r="E128" s="164">
        <v>506</v>
      </c>
      <c r="F128" s="164">
        <v>538</v>
      </c>
      <c r="G128" s="164">
        <v>446</v>
      </c>
      <c r="H128" s="165">
        <f t="shared" si="18"/>
        <v>-0.17100371747211895</v>
      </c>
      <c r="I128" s="165">
        <f t="shared" si="19"/>
        <v>7.9544846528384664E-4</v>
      </c>
    </row>
    <row r="129" spans="2:9" x14ac:dyDescent="0.25">
      <c r="B129" s="163" t="s">
        <v>121</v>
      </c>
      <c r="C129" s="164">
        <v>421</v>
      </c>
      <c r="D129" s="164">
        <v>523</v>
      </c>
      <c r="E129" s="164">
        <v>455</v>
      </c>
      <c r="F129" s="164">
        <v>765</v>
      </c>
      <c r="G129" s="164">
        <v>626</v>
      </c>
      <c r="H129" s="165">
        <f t="shared" si="18"/>
        <v>-0.18169934640522878</v>
      </c>
      <c r="I129" s="165">
        <f t="shared" si="19"/>
        <v>1.1164814781786728E-3</v>
      </c>
    </row>
    <row r="130" spans="2:9" x14ac:dyDescent="0.25">
      <c r="B130" s="163" t="s">
        <v>128</v>
      </c>
      <c r="C130" s="164">
        <v>101</v>
      </c>
      <c r="D130" s="164">
        <v>306</v>
      </c>
      <c r="E130" s="164">
        <v>151</v>
      </c>
      <c r="F130" s="164">
        <v>214</v>
      </c>
      <c r="G130" s="164">
        <v>209</v>
      </c>
      <c r="H130" s="165">
        <f t="shared" si="18"/>
        <v>-2.3364485981308358E-2</v>
      </c>
      <c r="I130" s="165">
        <f t="shared" si="19"/>
        <v>3.727549983056591E-4</v>
      </c>
    </row>
    <row r="131" spans="2:9" x14ac:dyDescent="0.25">
      <c r="B131" s="163" t="s">
        <v>124</v>
      </c>
      <c r="C131" s="164">
        <v>117</v>
      </c>
      <c r="D131" s="164">
        <v>140</v>
      </c>
      <c r="E131" s="164">
        <v>123</v>
      </c>
      <c r="F131" s="164">
        <v>190</v>
      </c>
      <c r="G131" s="164">
        <v>171</v>
      </c>
      <c r="H131" s="165">
        <f t="shared" si="18"/>
        <v>-9.9999999999999978E-2</v>
      </c>
      <c r="I131" s="165">
        <f t="shared" si="19"/>
        <v>3.0498136225008471E-4</v>
      </c>
    </row>
    <row r="132" spans="2:9" x14ac:dyDescent="0.25">
      <c r="B132" s="163" t="s">
        <v>133</v>
      </c>
      <c r="C132" s="164">
        <v>33</v>
      </c>
      <c r="D132" s="164">
        <v>34</v>
      </c>
      <c r="E132" s="164">
        <v>53</v>
      </c>
      <c r="F132" s="164">
        <v>38</v>
      </c>
      <c r="G132" s="164">
        <v>13</v>
      </c>
      <c r="H132" s="165">
        <f t="shared" si="18"/>
        <v>-0.65789473684210531</v>
      </c>
      <c r="I132" s="165">
        <f t="shared" si="19"/>
        <v>2.3185717597959657E-5</v>
      </c>
    </row>
    <row r="133" spans="2:9" x14ac:dyDescent="0.25">
      <c r="B133" s="163" t="s">
        <v>136</v>
      </c>
      <c r="C133" s="164">
        <v>30</v>
      </c>
      <c r="D133" s="164">
        <v>42</v>
      </c>
      <c r="E133" s="164">
        <v>49</v>
      </c>
      <c r="F133" s="164">
        <v>54</v>
      </c>
      <c r="G133" s="164">
        <v>57</v>
      </c>
      <c r="H133" s="165">
        <f t="shared" si="18"/>
        <v>5.555555555555558E-2</v>
      </c>
      <c r="I133" s="165">
        <f t="shared" si="19"/>
        <v>1.0166045408336157E-4</v>
      </c>
    </row>
    <row r="134" spans="2:9" x14ac:dyDescent="0.25">
      <c r="B134" s="168" t="s">
        <v>150</v>
      </c>
      <c r="C134" s="169">
        <f>C126-SUM(C127:C133)</f>
        <v>3922</v>
      </c>
      <c r="D134" s="169">
        <f>D126-SUM(D127:D133)</f>
        <v>3198</v>
      </c>
      <c r="E134" s="169">
        <f>E126-SUM(E127:E133)</f>
        <v>3521</v>
      </c>
      <c r="F134" s="169">
        <f>F126-SUM(F127:F133)</f>
        <v>3781</v>
      </c>
      <c r="G134" s="169">
        <f>G126-SUM(G127:G133)</f>
        <v>3283</v>
      </c>
      <c r="H134" s="170">
        <f t="shared" si="18"/>
        <v>-0.13171118751652999</v>
      </c>
      <c r="I134" s="170">
        <f t="shared" si="19"/>
        <v>5.8552854518539657E-3</v>
      </c>
    </row>
    <row r="135" spans="2:9" x14ac:dyDescent="0.25">
      <c r="B135" s="155" t="s">
        <v>54</v>
      </c>
      <c r="C135" s="174"/>
      <c r="D135" s="174"/>
      <c r="E135" s="174"/>
      <c r="F135" s="174"/>
      <c r="G135" s="174"/>
      <c r="H135" s="175"/>
      <c r="I135" s="175"/>
    </row>
    <row r="136" spans="2:9" x14ac:dyDescent="0.25">
      <c r="B136" s="156" t="s">
        <v>73</v>
      </c>
      <c r="C136" s="176">
        <v>26589</v>
      </c>
      <c r="D136" s="176">
        <v>31134</v>
      </c>
      <c r="E136" s="176">
        <v>29387</v>
      </c>
      <c r="F136" s="176">
        <v>32367</v>
      </c>
      <c r="G136" s="176">
        <v>31944</v>
      </c>
      <c r="H136" s="177">
        <f t="shared" ref="H136:H148" si="20">IFERROR(G136/F136-1,"-")</f>
        <v>-1.3068866438038729E-2</v>
      </c>
      <c r="I136" s="177">
        <f t="shared" ref="I136:I148" si="21">G136/G$10</f>
        <v>5.6972658688401789E-2</v>
      </c>
    </row>
    <row r="137" spans="2:9" x14ac:dyDescent="0.25">
      <c r="B137" s="159" t="s">
        <v>102</v>
      </c>
      <c r="C137" s="160">
        <v>4253</v>
      </c>
      <c r="D137" s="160">
        <v>7006</v>
      </c>
      <c r="E137" s="160">
        <v>4326</v>
      </c>
      <c r="F137" s="160">
        <v>6521</v>
      </c>
      <c r="G137" s="160">
        <v>5860</v>
      </c>
      <c r="H137" s="161">
        <f t="shared" si="20"/>
        <v>-0.10136482134641922</v>
      </c>
      <c r="I137" s="161">
        <f t="shared" si="21"/>
        <v>1.0451408086464891E-2</v>
      </c>
    </row>
    <row r="138" spans="2:9" x14ac:dyDescent="0.25">
      <c r="B138" s="163" t="s">
        <v>108</v>
      </c>
      <c r="C138" s="164">
        <v>2736</v>
      </c>
      <c r="D138" s="164">
        <v>5244</v>
      </c>
      <c r="E138" s="164">
        <v>2940</v>
      </c>
      <c r="F138" s="164">
        <v>4679</v>
      </c>
      <c r="G138" s="164">
        <v>3752</v>
      </c>
      <c r="H138" s="165">
        <f t="shared" si="20"/>
        <v>-0.19811925625133575</v>
      </c>
      <c r="I138" s="165">
        <f t="shared" si="21"/>
        <v>6.6917548021188178E-3</v>
      </c>
    </row>
    <row r="139" spans="2:9" x14ac:dyDescent="0.25">
      <c r="B139" s="163" t="s">
        <v>105</v>
      </c>
      <c r="C139" s="164">
        <v>1517</v>
      </c>
      <c r="D139" s="164">
        <v>1762</v>
      </c>
      <c r="E139" s="164">
        <v>1386</v>
      </c>
      <c r="F139" s="164">
        <v>1842</v>
      </c>
      <c r="G139" s="164">
        <v>2108</v>
      </c>
      <c r="H139" s="165">
        <f t="shared" si="20"/>
        <v>0.14440825190010864</v>
      </c>
      <c r="I139" s="165">
        <f t="shared" si="21"/>
        <v>3.7596532843460735E-3</v>
      </c>
    </row>
    <row r="140" spans="2:9" x14ac:dyDescent="0.25">
      <c r="B140" s="159" t="s">
        <v>112</v>
      </c>
      <c r="C140" s="160">
        <v>22336</v>
      </c>
      <c r="D140" s="160">
        <v>24128</v>
      </c>
      <c r="E140" s="160">
        <v>25061</v>
      </c>
      <c r="F140" s="160">
        <v>25846</v>
      </c>
      <c r="G140" s="160">
        <v>26084</v>
      </c>
      <c r="H140" s="161">
        <f t="shared" si="20"/>
        <v>9.2083881451674454E-3</v>
      </c>
      <c r="I140" s="161">
        <f t="shared" si="21"/>
        <v>4.6521250601936896E-2</v>
      </c>
    </row>
    <row r="141" spans="2:9" x14ac:dyDescent="0.25">
      <c r="B141" s="163" t="s">
        <v>115</v>
      </c>
      <c r="C141" s="164">
        <v>9847</v>
      </c>
      <c r="D141" s="164">
        <v>11314</v>
      </c>
      <c r="E141" s="164">
        <v>12176</v>
      </c>
      <c r="F141" s="164">
        <v>12847</v>
      </c>
      <c r="G141" s="164">
        <v>12176</v>
      </c>
      <c r="H141" s="165">
        <f t="shared" si="20"/>
        <v>-5.223009262862921E-2</v>
      </c>
      <c r="I141" s="165">
        <f t="shared" si="21"/>
        <v>2.1716099805596675E-2</v>
      </c>
    </row>
    <row r="142" spans="2:9" x14ac:dyDescent="0.25">
      <c r="B142" s="163" t="s">
        <v>118</v>
      </c>
      <c r="C142" s="164">
        <v>1340</v>
      </c>
      <c r="D142" s="164">
        <v>1866</v>
      </c>
      <c r="E142" s="164">
        <v>1475</v>
      </c>
      <c r="F142" s="164">
        <v>2025</v>
      </c>
      <c r="G142" s="164">
        <v>1869</v>
      </c>
      <c r="H142" s="165">
        <f t="shared" si="20"/>
        <v>-7.7037037037037015E-2</v>
      </c>
      <c r="I142" s="165">
        <f t="shared" si="21"/>
        <v>3.3333927838912767E-3</v>
      </c>
    </row>
    <row r="143" spans="2:9" x14ac:dyDescent="0.25">
      <c r="B143" s="163" t="s">
        <v>121</v>
      </c>
      <c r="C143" s="164">
        <v>2917</v>
      </c>
      <c r="D143" s="164">
        <v>2251</v>
      </c>
      <c r="E143" s="164">
        <v>2222</v>
      </c>
      <c r="F143" s="164">
        <v>2410</v>
      </c>
      <c r="G143" s="164">
        <v>2457</v>
      </c>
      <c r="H143" s="165">
        <f t="shared" si="20"/>
        <v>1.9502074688796611E-2</v>
      </c>
      <c r="I143" s="165">
        <f t="shared" si="21"/>
        <v>4.3821006260143748E-3</v>
      </c>
    </row>
    <row r="144" spans="2:9" x14ac:dyDescent="0.25">
      <c r="B144" s="163" t="s">
        <v>128</v>
      </c>
      <c r="C144" s="164">
        <v>1276</v>
      </c>
      <c r="D144" s="164">
        <v>1101</v>
      </c>
      <c r="E144" s="164">
        <v>653</v>
      </c>
      <c r="F144" s="164">
        <v>690</v>
      </c>
      <c r="G144" s="164">
        <v>507</v>
      </c>
      <c r="H144" s="165">
        <f t="shared" si="20"/>
        <v>-0.26521739130434785</v>
      </c>
      <c r="I144" s="165">
        <f t="shared" si="21"/>
        <v>9.0424298632042657E-4</v>
      </c>
    </row>
    <row r="145" spans="2:9" x14ac:dyDescent="0.25">
      <c r="B145" s="163" t="s">
        <v>124</v>
      </c>
      <c r="C145" s="164">
        <v>607</v>
      </c>
      <c r="D145" s="164">
        <v>788</v>
      </c>
      <c r="E145" s="164">
        <v>753</v>
      </c>
      <c r="F145" s="164">
        <v>619</v>
      </c>
      <c r="G145" s="164">
        <v>722</v>
      </c>
      <c r="H145" s="165">
        <f t="shared" si="20"/>
        <v>0.16639741518578344</v>
      </c>
      <c r="I145" s="165">
        <f t="shared" si="21"/>
        <v>1.2876990850559133E-3</v>
      </c>
    </row>
    <row r="146" spans="2:9" x14ac:dyDescent="0.25">
      <c r="B146" s="163" t="s">
        <v>133</v>
      </c>
      <c r="C146" s="164">
        <v>94</v>
      </c>
      <c r="D146" s="164">
        <v>9</v>
      </c>
      <c r="E146" s="164">
        <v>19</v>
      </c>
      <c r="F146" s="164">
        <v>66</v>
      </c>
      <c r="G146" s="164">
        <v>46</v>
      </c>
      <c r="H146" s="165">
        <f t="shared" si="20"/>
        <v>-0.30303030303030298</v>
      </c>
      <c r="I146" s="165">
        <f t="shared" si="21"/>
        <v>8.2041769962011097E-5</v>
      </c>
    </row>
    <row r="147" spans="2:9" x14ac:dyDescent="0.25">
      <c r="B147" s="163" t="s">
        <v>136</v>
      </c>
      <c r="C147" s="164">
        <v>37</v>
      </c>
      <c r="D147" s="164">
        <v>22</v>
      </c>
      <c r="E147" s="164">
        <v>25</v>
      </c>
      <c r="F147" s="164">
        <v>28</v>
      </c>
      <c r="G147" s="164">
        <v>7</v>
      </c>
      <c r="H147" s="165">
        <f t="shared" si="20"/>
        <v>-0.75</v>
      </c>
      <c r="I147" s="165">
        <f t="shared" si="21"/>
        <v>1.2484617168132122E-5</v>
      </c>
    </row>
    <row r="148" spans="2:9" x14ac:dyDescent="0.25">
      <c r="B148" s="168" t="s">
        <v>150</v>
      </c>
      <c r="C148" s="169">
        <f>C140-SUM(C141:C147)</f>
        <v>6218</v>
      </c>
      <c r="D148" s="169">
        <f>D140-SUM(D141:D147)</f>
        <v>6777</v>
      </c>
      <c r="E148" s="169">
        <f>E140-SUM(E141:E147)</f>
        <v>7738</v>
      </c>
      <c r="F148" s="169">
        <f>F140-SUM(F141:F147)</f>
        <v>7161</v>
      </c>
      <c r="G148" s="169">
        <f>G140-SUM(G141:G147)</f>
        <v>8300</v>
      </c>
      <c r="H148" s="170">
        <f t="shared" si="20"/>
        <v>0.15905599776567514</v>
      </c>
      <c r="I148" s="170">
        <f t="shared" si="21"/>
        <v>1.4803188927928089E-2</v>
      </c>
    </row>
    <row r="149" spans="2:9" x14ac:dyDescent="0.25">
      <c r="B149" s="155" t="s">
        <v>55</v>
      </c>
      <c r="C149" s="174"/>
      <c r="D149" s="174"/>
      <c r="E149" s="174"/>
      <c r="F149" s="174"/>
      <c r="G149" s="174"/>
      <c r="H149" s="175"/>
      <c r="I149" s="175"/>
    </row>
    <row r="150" spans="2:9" x14ac:dyDescent="0.25">
      <c r="B150" s="156" t="s">
        <v>73</v>
      </c>
      <c r="C150" s="176">
        <v>10249</v>
      </c>
      <c r="D150" s="176">
        <v>11325</v>
      </c>
      <c r="E150" s="176">
        <v>13055</v>
      </c>
      <c r="F150" s="176">
        <v>12236</v>
      </c>
      <c r="G150" s="176">
        <v>10846</v>
      </c>
      <c r="H150" s="177">
        <f t="shared" ref="H150:H162" si="22">IFERROR(G150/F150-1,"-")</f>
        <v>-0.11359921542987905</v>
      </c>
      <c r="I150" s="177">
        <f t="shared" ref="I150:I162" si="23">G150/G$10</f>
        <v>1.9344022543651571E-2</v>
      </c>
    </row>
    <row r="151" spans="2:9" x14ac:dyDescent="0.25">
      <c r="B151" s="159" t="s">
        <v>102</v>
      </c>
      <c r="C151" s="160">
        <v>5747</v>
      </c>
      <c r="D151" s="160">
        <v>6720</v>
      </c>
      <c r="E151" s="160">
        <v>7242</v>
      </c>
      <c r="F151" s="160">
        <v>6099</v>
      </c>
      <c r="G151" s="160">
        <v>5204</v>
      </c>
      <c r="H151" s="161">
        <f t="shared" si="22"/>
        <v>-0.14674536809312999</v>
      </c>
      <c r="I151" s="161">
        <f t="shared" si="23"/>
        <v>9.2814211061370815E-3</v>
      </c>
    </row>
    <row r="152" spans="2:9" x14ac:dyDescent="0.25">
      <c r="B152" s="163" t="s">
        <v>108</v>
      </c>
      <c r="C152" s="164">
        <v>4364</v>
      </c>
      <c r="D152" s="164">
        <v>5364</v>
      </c>
      <c r="E152" s="164">
        <v>5289</v>
      </c>
      <c r="F152" s="164">
        <v>3767</v>
      </c>
      <c r="G152" s="164">
        <v>2437</v>
      </c>
      <c r="H152" s="165">
        <f t="shared" si="22"/>
        <v>-0.35306610034510222</v>
      </c>
      <c r="I152" s="165">
        <f t="shared" si="23"/>
        <v>4.3464302912482834E-3</v>
      </c>
    </row>
    <row r="153" spans="2:9" x14ac:dyDescent="0.25">
      <c r="B153" s="163" t="s">
        <v>105</v>
      </c>
      <c r="C153" s="164">
        <v>1383</v>
      </c>
      <c r="D153" s="164">
        <v>1356</v>
      </c>
      <c r="E153" s="164">
        <v>1953</v>
      </c>
      <c r="F153" s="164">
        <v>2332</v>
      </c>
      <c r="G153" s="164">
        <v>2767</v>
      </c>
      <c r="H153" s="165">
        <f t="shared" si="22"/>
        <v>0.18653516295025718</v>
      </c>
      <c r="I153" s="165">
        <f t="shared" si="23"/>
        <v>4.9349908148887981E-3</v>
      </c>
    </row>
    <row r="154" spans="2:9" x14ac:dyDescent="0.25">
      <c r="B154" s="159" t="s">
        <v>112</v>
      </c>
      <c r="C154" s="160">
        <v>4502</v>
      </c>
      <c r="D154" s="160">
        <v>4605</v>
      </c>
      <c r="E154" s="160">
        <v>5813</v>
      </c>
      <c r="F154" s="160">
        <v>6137</v>
      </c>
      <c r="G154" s="160">
        <v>5642</v>
      </c>
      <c r="H154" s="161">
        <f t="shared" si="22"/>
        <v>-8.0658302102004198E-2</v>
      </c>
      <c r="I154" s="161">
        <f t="shared" si="23"/>
        <v>1.0062601437514491E-2</v>
      </c>
    </row>
    <row r="155" spans="2:9" x14ac:dyDescent="0.25">
      <c r="B155" s="163" t="s">
        <v>115</v>
      </c>
      <c r="C155" s="164">
        <v>1991</v>
      </c>
      <c r="D155" s="164">
        <v>1582</v>
      </c>
      <c r="E155" s="164">
        <v>1869</v>
      </c>
      <c r="F155" s="164">
        <v>1775</v>
      </c>
      <c r="G155" s="164">
        <v>2098</v>
      </c>
      <c r="H155" s="165">
        <f t="shared" si="22"/>
        <v>0.18197183098591552</v>
      </c>
      <c r="I155" s="165">
        <f t="shared" si="23"/>
        <v>3.7418181169630279E-3</v>
      </c>
    </row>
    <row r="156" spans="2:9" x14ac:dyDescent="0.25">
      <c r="B156" s="163" t="s">
        <v>118</v>
      </c>
      <c r="C156" s="164">
        <v>524</v>
      </c>
      <c r="D156" s="164">
        <v>656</v>
      </c>
      <c r="E156" s="164">
        <v>561</v>
      </c>
      <c r="F156" s="164">
        <v>591</v>
      </c>
      <c r="G156" s="164">
        <v>557</v>
      </c>
      <c r="H156" s="165">
        <f t="shared" si="22"/>
        <v>-5.7529610829103239E-2</v>
      </c>
      <c r="I156" s="165">
        <f t="shared" si="23"/>
        <v>9.9341882323565611E-4</v>
      </c>
    </row>
    <row r="157" spans="2:9" x14ac:dyDescent="0.25">
      <c r="B157" s="163" t="s">
        <v>121</v>
      </c>
      <c r="C157" s="164">
        <v>556</v>
      </c>
      <c r="D157" s="164">
        <v>861</v>
      </c>
      <c r="E157" s="164">
        <v>1146</v>
      </c>
      <c r="F157" s="164">
        <v>1966</v>
      </c>
      <c r="G157" s="164">
        <v>1223</v>
      </c>
      <c r="H157" s="165">
        <f t="shared" si="22"/>
        <v>-0.37792472024415058</v>
      </c>
      <c r="I157" s="165">
        <f t="shared" si="23"/>
        <v>2.1812409709465125E-3</v>
      </c>
    </row>
    <row r="158" spans="2:9" x14ac:dyDescent="0.25">
      <c r="B158" s="163" t="s">
        <v>128</v>
      </c>
      <c r="C158" s="164">
        <v>152</v>
      </c>
      <c r="D158" s="164">
        <v>135</v>
      </c>
      <c r="E158" s="164">
        <v>188</v>
      </c>
      <c r="F158" s="164">
        <v>112</v>
      </c>
      <c r="G158" s="164">
        <v>163</v>
      </c>
      <c r="H158" s="165">
        <f t="shared" si="22"/>
        <v>0.45535714285714279</v>
      </c>
      <c r="I158" s="165">
        <f t="shared" si="23"/>
        <v>2.9071322834364798E-4</v>
      </c>
    </row>
    <row r="159" spans="2:9" x14ac:dyDescent="0.25">
      <c r="B159" s="163" t="s">
        <v>124</v>
      </c>
      <c r="C159" s="164">
        <v>551</v>
      </c>
      <c r="D159" s="164">
        <v>289</v>
      </c>
      <c r="E159" s="164">
        <v>504</v>
      </c>
      <c r="F159" s="164">
        <v>306</v>
      </c>
      <c r="G159" s="164">
        <v>236</v>
      </c>
      <c r="H159" s="165">
        <f t="shared" si="22"/>
        <v>-0.22875816993464049</v>
      </c>
      <c r="I159" s="165">
        <f t="shared" si="23"/>
        <v>4.20909950239883E-4</v>
      </c>
    </row>
    <row r="160" spans="2:9" x14ac:dyDescent="0.25">
      <c r="B160" s="163" t="s">
        <v>133</v>
      </c>
      <c r="C160" s="164">
        <v>19</v>
      </c>
      <c r="D160" s="164">
        <v>12</v>
      </c>
      <c r="E160" s="164">
        <v>6</v>
      </c>
      <c r="F160" s="164">
        <v>16</v>
      </c>
      <c r="G160" s="164">
        <v>40</v>
      </c>
      <c r="H160" s="165">
        <f t="shared" si="22"/>
        <v>1.5</v>
      </c>
      <c r="I160" s="165">
        <f t="shared" si="23"/>
        <v>7.1340669532183565E-5</v>
      </c>
    </row>
    <row r="161" spans="2:9" x14ac:dyDescent="0.25">
      <c r="B161" s="163" t="s">
        <v>136</v>
      </c>
      <c r="C161" s="164">
        <v>13</v>
      </c>
      <c r="D161" s="164">
        <v>15</v>
      </c>
      <c r="E161" s="164">
        <v>6</v>
      </c>
      <c r="F161" s="164">
        <v>15</v>
      </c>
      <c r="G161" s="164">
        <v>6</v>
      </c>
      <c r="H161" s="165">
        <f t="shared" si="22"/>
        <v>-0.6</v>
      </c>
      <c r="I161" s="165">
        <f t="shared" si="23"/>
        <v>1.0701100429827535E-5</v>
      </c>
    </row>
    <row r="162" spans="2:9" x14ac:dyDescent="0.25">
      <c r="B162" s="168" t="s">
        <v>150</v>
      </c>
      <c r="C162" s="169">
        <f>C154-SUM(C155:C161)</f>
        <v>696</v>
      </c>
      <c r="D162" s="169">
        <f>D154-SUM(D155:D161)</f>
        <v>1055</v>
      </c>
      <c r="E162" s="169">
        <f>E154-SUM(E155:E161)</f>
        <v>1533</v>
      </c>
      <c r="F162" s="169">
        <f>F154-SUM(F155:F161)</f>
        <v>1356</v>
      </c>
      <c r="G162" s="169">
        <f>G154-SUM(G155:G161)</f>
        <v>1319</v>
      </c>
      <c r="H162" s="170">
        <f t="shared" si="22"/>
        <v>-2.7286135693215363E-2</v>
      </c>
      <c r="I162" s="170">
        <f t="shared" si="23"/>
        <v>2.3524585778237528E-3</v>
      </c>
    </row>
    <row r="163" spans="2:9" x14ac:dyDescent="0.25">
      <c r="C163" s="81"/>
      <c r="D163" s="81"/>
      <c r="E163" s="81"/>
      <c r="F163" s="81"/>
      <c r="G163" s="81"/>
      <c r="H163" s="81"/>
    </row>
    <row r="164" spans="2:9" x14ac:dyDescent="0.25">
      <c r="B164" s="107" t="s">
        <v>57</v>
      </c>
      <c r="C164" s="107"/>
      <c r="D164" s="107"/>
      <c r="E164" s="107"/>
      <c r="F164" s="107"/>
      <c r="G164" s="107"/>
      <c r="H164" s="107"/>
      <c r="I164" s="107"/>
    </row>
  </sheetData>
  <mergeCells count="3">
    <mergeCell ref="B5:I5"/>
    <mergeCell ref="K5:R5"/>
    <mergeCell ref="C7:I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55F10-B959-48C9-80CF-93E1CF3DF10C}">
  <sheetPr>
    <tabColor rgb="FFFFC000"/>
    <pageSetUpPr fitToPage="1"/>
  </sheetPr>
  <dimension ref="A1:X163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3" customWidth="1"/>
    <col min="10" max="10" width="10.5703125" customWidth="1"/>
    <col min="11" max="11" width="11.5703125" customWidth="1"/>
    <col min="12" max="12" width="10.5703125" customWidth="1"/>
    <col min="14" max="14" width="11.42578125" customWidth="1"/>
    <col min="15" max="24" width="11.42578125" hidden="1" customWidth="1"/>
  </cols>
  <sheetData>
    <row r="1" spans="1:24" ht="42.75" customHeight="1" x14ac:dyDescent="0.25"/>
    <row r="4" spans="1:24" ht="42" customHeight="1" thickBot="1" x14ac:dyDescent="0.3">
      <c r="B4" s="273" t="str">
        <f>CONCATENATE("Viajeros alojados en los establecimientos alojativos de Tenerife según lugar de residencia y municipio de alojamiento (hotel + apartamento)")</f>
        <v>Viajeros alojados en los establecimientos alojativos de Tenerife según lugar de residencia y municipio de alojamiento (hotel + apartamento)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O4" s="273" t="s">
        <v>278</v>
      </c>
      <c r="P4" s="273"/>
      <c r="Q4" s="273"/>
      <c r="R4" s="273"/>
      <c r="S4" s="273"/>
      <c r="T4" s="273"/>
      <c r="U4" s="273"/>
      <c r="V4" s="273"/>
      <c r="W4" s="273"/>
      <c r="X4" s="273"/>
    </row>
    <row r="5" spans="1:24" ht="6" customHeight="1" x14ac:dyDescent="0.25"/>
    <row r="6" spans="1:24" ht="15.75" x14ac:dyDescent="0.25">
      <c r="B6" s="145"/>
      <c r="C6" s="307" t="s">
        <v>45</v>
      </c>
      <c r="D6" s="308"/>
      <c r="E6" s="308"/>
      <c r="F6" s="308"/>
      <c r="G6" s="308"/>
      <c r="H6" s="308"/>
      <c r="I6" s="308"/>
      <c r="J6" s="308"/>
      <c r="K6" s="308"/>
      <c r="L6" s="308"/>
    </row>
    <row r="7" spans="1:24" s="146" customFormat="1" ht="72" customHeight="1" x14ac:dyDescent="0.25">
      <c r="B7" s="147"/>
      <c r="C7" s="172" t="s">
        <v>279</v>
      </c>
      <c r="D7" s="172" t="s">
        <v>270</v>
      </c>
      <c r="E7" s="172" t="s">
        <v>271</v>
      </c>
      <c r="F7" s="172" t="s">
        <v>272</v>
      </c>
      <c r="G7" s="172" t="s">
        <v>273</v>
      </c>
      <c r="H7" s="172" t="s">
        <v>274</v>
      </c>
      <c r="I7" s="172" t="s">
        <v>275</v>
      </c>
      <c r="J7" s="173" t="str">
        <f>CONCATENATE("var. ",RIGHT(I7,2),"/",RIGHT(H7,2))</f>
        <v>var. 26/25</v>
      </c>
      <c r="K7" s="172" t="str">
        <f>CONCATENATE("dif. ",RIGHT(I7,2),"/",RIGHT(H7,2))</f>
        <v>dif. 26/25</v>
      </c>
      <c r="L7" s="173" t="str">
        <f>CONCATENATE("Cuota s/ total lugares de residencia ",RIGHT(I7,4))</f>
        <v>Cuota s/ total lugares de residencia 2026</v>
      </c>
      <c r="O7" s="147"/>
      <c r="P7" s="172" t="s">
        <v>270</v>
      </c>
      <c r="Q7" s="172" t="s">
        <v>271</v>
      </c>
      <c r="R7" s="172" t="s">
        <v>272</v>
      </c>
      <c r="S7" s="172" t="s">
        <v>273</v>
      </c>
      <c r="T7" s="172" t="s">
        <v>274</v>
      </c>
      <c r="U7" s="172" t="s">
        <v>275</v>
      </c>
      <c r="V7" s="173" t="str">
        <f>CONCATENATE("var. ",RIGHT(U7,2),"/",RIGHT(T7,2))</f>
        <v>var. 26/25</v>
      </c>
      <c r="W7" s="172" t="str">
        <f>CONCATENATE("dif. ",RIGHT(U7,2),"/",RIGHT(T7,2))</f>
        <v>dif. 26/25</v>
      </c>
      <c r="X7" s="173" t="str">
        <f>CONCATENATE("Cuota s/ total lugares de residencia ",RIGHT(U7,4))</f>
        <v>Cuota s/ total lugares de residencia 2026</v>
      </c>
    </row>
    <row r="8" spans="1:24" x14ac:dyDescent="0.25">
      <c r="A8" s="1"/>
      <c r="B8" s="152" t="s">
        <v>45</v>
      </c>
      <c r="C8" s="153"/>
      <c r="D8" s="153"/>
      <c r="E8" s="153"/>
      <c r="F8" s="153"/>
      <c r="G8" s="153"/>
      <c r="H8" s="153"/>
      <c r="I8" s="154"/>
      <c r="J8" s="154"/>
      <c r="K8" s="154"/>
      <c r="L8" s="153"/>
      <c r="O8" s="155" t="s">
        <v>53</v>
      </c>
      <c r="P8" s="153"/>
      <c r="Q8" s="153"/>
      <c r="R8" s="153"/>
      <c r="S8" s="153"/>
      <c r="T8" s="153"/>
      <c r="U8" s="154"/>
      <c r="V8" s="154"/>
      <c r="W8" s="154"/>
      <c r="X8" s="153"/>
    </row>
    <row r="9" spans="1:24" x14ac:dyDescent="0.25">
      <c r="A9" s="1"/>
      <c r="B9" s="156" t="s">
        <v>73</v>
      </c>
      <c r="C9" s="176">
        <v>1300354</v>
      </c>
      <c r="D9" s="176">
        <v>828020</v>
      </c>
      <c r="E9" s="176">
        <v>3127308</v>
      </c>
      <c r="F9" s="176">
        <v>3518867</v>
      </c>
      <c r="G9" s="176">
        <v>3747172</v>
      </c>
      <c r="H9" s="176">
        <v>3699270</v>
      </c>
      <c r="I9" s="176">
        <v>3696365</v>
      </c>
      <c r="J9" s="177">
        <f>IFERROR(I9/H9-1,"-")</f>
        <v>-7.8529007074368273E-4</v>
      </c>
      <c r="K9" s="176">
        <f t="shared" ref="K9:K21" si="0">I9-H9</f>
        <v>-2905</v>
      </c>
      <c r="L9" s="177">
        <f t="shared" ref="L9:L21" si="1">I9/I$9</f>
        <v>1</v>
      </c>
      <c r="O9" s="156" t="s">
        <v>73</v>
      </c>
      <c r="P9" s="176">
        <v>75280</v>
      </c>
      <c r="Q9" s="176">
        <v>128348</v>
      </c>
      <c r="R9" s="176">
        <v>150641</v>
      </c>
      <c r="S9" s="176">
        <v>153105</v>
      </c>
      <c r="T9" s="176">
        <v>171430</v>
      </c>
      <c r="U9" s="176">
        <v>175021</v>
      </c>
      <c r="V9" s="177">
        <f>IFERROR(U9/T9-1,"-")</f>
        <v>2.0947325438954723E-2</v>
      </c>
      <c r="W9" s="176">
        <f>U9-T9</f>
        <v>3591</v>
      </c>
      <c r="X9" s="177">
        <f t="shared" ref="X9:X21" si="2">U9/U$9</f>
        <v>1</v>
      </c>
    </row>
    <row r="10" spans="1:24" x14ac:dyDescent="0.25">
      <c r="A10" s="1" t="s">
        <v>101</v>
      </c>
      <c r="B10" s="159" t="s">
        <v>102</v>
      </c>
      <c r="C10" s="160">
        <v>213839</v>
      </c>
      <c r="D10" s="160">
        <v>408070</v>
      </c>
      <c r="E10" s="160">
        <v>632958</v>
      </c>
      <c r="F10" s="160">
        <v>671685</v>
      </c>
      <c r="G10" s="160">
        <v>659479</v>
      </c>
      <c r="H10" s="160">
        <v>659588</v>
      </c>
      <c r="I10" s="160">
        <v>691098</v>
      </c>
      <c r="J10" s="178">
        <f>IFERROR(I10/H10-1,"-")</f>
        <v>4.7772245704894578E-2</v>
      </c>
      <c r="K10" s="159">
        <f t="shared" si="0"/>
        <v>31510</v>
      </c>
      <c r="L10" s="161">
        <f t="shared" si="1"/>
        <v>0.18696692561475936</v>
      </c>
      <c r="O10" s="159" t="s">
        <v>102</v>
      </c>
      <c r="P10" s="160">
        <v>49726</v>
      </c>
      <c r="Q10" s="160">
        <v>77834</v>
      </c>
      <c r="R10" s="160">
        <v>91922</v>
      </c>
      <c r="S10" s="160">
        <v>94162</v>
      </c>
      <c r="T10" s="160">
        <v>108956</v>
      </c>
      <c r="U10" s="160">
        <v>108612</v>
      </c>
      <c r="V10" s="178">
        <f>IFERROR(U10/T10-1,"-")</f>
        <v>-3.15723778405963E-3</v>
      </c>
      <c r="W10" s="159">
        <f t="shared" ref="W10:W20" si="3">U10-T10</f>
        <v>-344</v>
      </c>
      <c r="X10" s="161">
        <f t="shared" si="2"/>
        <v>0.62056553213614363</v>
      </c>
    </row>
    <row r="11" spans="1:24" x14ac:dyDescent="0.25">
      <c r="A11" s="162" t="s">
        <v>108</v>
      </c>
      <c r="B11" s="163" t="s">
        <v>108</v>
      </c>
      <c r="C11" s="164">
        <v>82759</v>
      </c>
      <c r="D11" s="164">
        <v>241929</v>
      </c>
      <c r="E11" s="164">
        <v>264724</v>
      </c>
      <c r="F11" s="164">
        <v>273864</v>
      </c>
      <c r="G11" s="164">
        <v>259756</v>
      </c>
      <c r="H11" s="164">
        <v>243019</v>
      </c>
      <c r="I11" s="164">
        <v>286342</v>
      </c>
      <c r="J11" s="179">
        <f>IFERROR(I11/H11-1,"-")</f>
        <v>0.1782700118097762</v>
      </c>
      <c r="K11" s="163">
        <f t="shared" si="0"/>
        <v>43323</v>
      </c>
      <c r="L11" s="165">
        <f t="shared" si="1"/>
        <v>7.7465834678122972E-2</v>
      </c>
      <c r="O11" s="163" t="s">
        <v>108</v>
      </c>
      <c r="P11" s="164">
        <v>25952</v>
      </c>
      <c r="Q11" s="164">
        <v>39856</v>
      </c>
      <c r="R11" s="164">
        <v>42188</v>
      </c>
      <c r="S11" s="164">
        <v>44403</v>
      </c>
      <c r="T11" s="164">
        <v>56559</v>
      </c>
      <c r="U11" s="164">
        <v>56385</v>
      </c>
      <c r="V11" s="179">
        <f>IFERROR(U11/T11-1,"-")</f>
        <v>-3.0764334588659903E-3</v>
      </c>
      <c r="W11" s="163">
        <f t="shared" si="3"/>
        <v>-174</v>
      </c>
      <c r="X11" s="165">
        <f t="shared" si="2"/>
        <v>0.32216134063912333</v>
      </c>
    </row>
    <row r="12" spans="1:24" x14ac:dyDescent="0.25">
      <c r="A12" s="162" t="s">
        <v>105</v>
      </c>
      <c r="B12" s="163" t="s">
        <v>105</v>
      </c>
      <c r="C12" s="164">
        <v>131080</v>
      </c>
      <c r="D12" s="164">
        <v>166141</v>
      </c>
      <c r="E12" s="164">
        <v>368234</v>
      </c>
      <c r="F12" s="164">
        <v>397821</v>
      </c>
      <c r="G12" s="164">
        <v>399723</v>
      </c>
      <c r="H12" s="164">
        <v>416569</v>
      </c>
      <c r="I12" s="164">
        <v>404756</v>
      </c>
      <c r="J12" s="179">
        <f>IFERROR(I12/H12-1,"-")</f>
        <v>-2.8357847079355403E-2</v>
      </c>
      <c r="K12" s="163">
        <f t="shared" si="0"/>
        <v>-11813</v>
      </c>
      <c r="L12" s="165">
        <f t="shared" si="1"/>
        <v>0.1095010909366364</v>
      </c>
      <c r="O12" s="163" t="s">
        <v>105</v>
      </c>
      <c r="P12" s="164">
        <v>23774</v>
      </c>
      <c r="Q12" s="164">
        <v>37978</v>
      </c>
      <c r="R12" s="164">
        <v>49734</v>
      </c>
      <c r="S12" s="164">
        <v>49759</v>
      </c>
      <c r="T12" s="164">
        <v>52397</v>
      </c>
      <c r="U12" s="164">
        <v>52227</v>
      </c>
      <c r="V12" s="179">
        <f>IFERROR(U12/T12-1,"-")</f>
        <v>-3.2444605607191424E-3</v>
      </c>
      <c r="W12" s="163">
        <f t="shared" si="3"/>
        <v>-170</v>
      </c>
      <c r="X12" s="165">
        <f t="shared" si="2"/>
        <v>0.29840419149702035</v>
      </c>
    </row>
    <row r="13" spans="1:24" x14ac:dyDescent="0.25">
      <c r="A13" s="1"/>
      <c r="B13" s="159" t="s">
        <v>112</v>
      </c>
      <c r="C13" s="160">
        <v>1086515</v>
      </c>
      <c r="D13" s="160">
        <v>419950</v>
      </c>
      <c r="E13" s="160">
        <v>2494350</v>
      </c>
      <c r="F13" s="160">
        <v>2847182</v>
      </c>
      <c r="G13" s="160">
        <v>3087693</v>
      </c>
      <c r="H13" s="160">
        <v>3039682</v>
      </c>
      <c r="I13" s="160">
        <v>3005267</v>
      </c>
      <c r="J13" s="178">
        <f>IFERROR(I13/H13-1,"-")</f>
        <v>-1.1321908015377913E-2</v>
      </c>
      <c r="K13" s="159">
        <f t="shared" si="0"/>
        <v>-34415</v>
      </c>
      <c r="L13" s="161">
        <f t="shared" si="1"/>
        <v>0.81303307438524064</v>
      </c>
      <c r="O13" s="159" t="s">
        <v>112</v>
      </c>
      <c r="P13" s="160">
        <v>25554</v>
      </c>
      <c r="Q13" s="160">
        <v>50514</v>
      </c>
      <c r="R13" s="160">
        <v>58719</v>
      </c>
      <c r="S13" s="160">
        <v>58943</v>
      </c>
      <c r="T13" s="160">
        <v>62474</v>
      </c>
      <c r="U13" s="160">
        <v>66409</v>
      </c>
      <c r="V13" s="178">
        <f>IFERROR(U13/T13-1,"-")</f>
        <v>6.2986202260140178E-2</v>
      </c>
      <c r="W13" s="159">
        <f t="shared" si="3"/>
        <v>3935</v>
      </c>
      <c r="X13" s="161">
        <f t="shared" si="2"/>
        <v>0.37943446786385632</v>
      </c>
    </row>
    <row r="14" spans="1:24" s="57" customFormat="1" x14ac:dyDescent="0.25">
      <c r="B14" s="163" t="s">
        <v>115</v>
      </c>
      <c r="C14" s="164">
        <v>442786</v>
      </c>
      <c r="D14" s="164">
        <v>37593</v>
      </c>
      <c r="E14" s="164">
        <v>1127278</v>
      </c>
      <c r="F14" s="164">
        <v>1313290</v>
      </c>
      <c r="G14" s="164">
        <v>1430468</v>
      </c>
      <c r="H14" s="164">
        <v>1420883</v>
      </c>
      <c r="I14" s="164">
        <v>1420563</v>
      </c>
      <c r="J14" s="179">
        <f t="shared" ref="J14:J21" si="4">IFERROR(I14/H14-1,"-")</f>
        <v>-2.2521206883330258E-4</v>
      </c>
      <c r="K14" s="163">
        <f t="shared" si="0"/>
        <v>-320</v>
      </c>
      <c r="L14" s="165">
        <f t="shared" si="1"/>
        <v>0.38431350800042746</v>
      </c>
      <c r="O14" s="163" t="s">
        <v>115</v>
      </c>
      <c r="P14" s="164">
        <v>831</v>
      </c>
      <c r="Q14" s="164">
        <v>5280</v>
      </c>
      <c r="R14" s="164">
        <v>7111</v>
      </c>
      <c r="S14" s="164">
        <v>7260</v>
      </c>
      <c r="T14" s="164">
        <v>6529</v>
      </c>
      <c r="U14" s="164">
        <v>6329</v>
      </c>
      <c r="V14" s="179">
        <f t="shared" ref="V14:V21" si="5">IFERROR(U14/T14-1,"-")</f>
        <v>-3.0632562413845932E-2</v>
      </c>
      <c r="W14" s="163">
        <f t="shared" si="3"/>
        <v>-200</v>
      </c>
      <c r="X14" s="165">
        <f t="shared" si="2"/>
        <v>3.6161374920723799E-2</v>
      </c>
    </row>
    <row r="15" spans="1:24" s="57" customFormat="1" x14ac:dyDescent="0.25">
      <c r="B15" s="163" t="s">
        <v>118</v>
      </c>
      <c r="C15" s="164">
        <v>142831</v>
      </c>
      <c r="D15" s="164">
        <v>67082</v>
      </c>
      <c r="E15" s="164">
        <v>260715</v>
      </c>
      <c r="F15" s="164">
        <v>301697</v>
      </c>
      <c r="G15" s="164">
        <v>318904</v>
      </c>
      <c r="H15" s="164">
        <v>309207</v>
      </c>
      <c r="I15" s="164">
        <v>291846</v>
      </c>
      <c r="J15" s="179">
        <f t="shared" si="4"/>
        <v>-5.6146853079005354E-2</v>
      </c>
      <c r="K15" s="163">
        <f t="shared" si="0"/>
        <v>-17361</v>
      </c>
      <c r="L15" s="165">
        <f t="shared" si="1"/>
        <v>7.8954865117487047E-2</v>
      </c>
      <c r="O15" s="163" t="s">
        <v>118</v>
      </c>
      <c r="P15" s="164">
        <v>2705</v>
      </c>
      <c r="Q15" s="164">
        <v>5628</v>
      </c>
      <c r="R15" s="164">
        <v>8717</v>
      </c>
      <c r="S15" s="164">
        <v>8320</v>
      </c>
      <c r="T15" s="164">
        <v>9140</v>
      </c>
      <c r="U15" s="164">
        <v>9833</v>
      </c>
      <c r="V15" s="179">
        <f t="shared" si="5"/>
        <v>7.5820568927789989E-2</v>
      </c>
      <c r="W15" s="163">
        <f t="shared" si="3"/>
        <v>693</v>
      </c>
      <c r="X15" s="165">
        <f t="shared" si="2"/>
        <v>5.6181829609018345E-2</v>
      </c>
    </row>
    <row r="16" spans="1:24" x14ac:dyDescent="0.25">
      <c r="A16" s="1"/>
      <c r="B16" s="163" t="s">
        <v>121</v>
      </c>
      <c r="C16" s="164">
        <v>46477</v>
      </c>
      <c r="D16" s="164">
        <v>63559</v>
      </c>
      <c r="E16" s="164">
        <v>128327</v>
      </c>
      <c r="F16" s="164">
        <v>145681</v>
      </c>
      <c r="G16" s="164">
        <v>162803</v>
      </c>
      <c r="H16" s="164">
        <v>152340</v>
      </c>
      <c r="I16" s="164">
        <v>158810</v>
      </c>
      <c r="J16" s="179">
        <f t="shared" si="4"/>
        <v>4.2470789024550371E-2</v>
      </c>
      <c r="K16" s="163">
        <f t="shared" si="0"/>
        <v>6470</v>
      </c>
      <c r="L16" s="165">
        <f t="shared" si="1"/>
        <v>4.2963830682305457E-2</v>
      </c>
      <c r="O16" s="163" t="s">
        <v>121</v>
      </c>
      <c r="P16" s="164">
        <v>3626</v>
      </c>
      <c r="Q16" s="164">
        <v>4754</v>
      </c>
      <c r="R16" s="164">
        <v>5328</v>
      </c>
      <c r="S16" s="164">
        <v>4926</v>
      </c>
      <c r="T16" s="164">
        <v>5289</v>
      </c>
      <c r="U16" s="164">
        <v>5467</v>
      </c>
      <c r="V16" s="179">
        <f t="shared" si="5"/>
        <v>3.365475515220262E-2</v>
      </c>
      <c r="W16" s="163">
        <f t="shared" si="3"/>
        <v>178</v>
      </c>
      <c r="X16" s="165">
        <f t="shared" si="2"/>
        <v>3.1236251649802024E-2</v>
      </c>
    </row>
    <row r="17" spans="1:24" x14ac:dyDescent="0.25">
      <c r="A17" s="1"/>
      <c r="B17" s="163" t="s">
        <v>128</v>
      </c>
      <c r="C17" s="164">
        <v>37288</v>
      </c>
      <c r="D17" s="164">
        <v>20102</v>
      </c>
      <c r="E17" s="164">
        <v>126535</v>
      </c>
      <c r="F17" s="164">
        <v>113604</v>
      </c>
      <c r="G17" s="164">
        <v>121280</v>
      </c>
      <c r="H17" s="164">
        <v>112592</v>
      </c>
      <c r="I17" s="164">
        <v>112522</v>
      </c>
      <c r="J17" s="179">
        <f t="shared" si="4"/>
        <v>-6.2171379849362829E-4</v>
      </c>
      <c r="K17" s="163">
        <f t="shared" si="0"/>
        <v>-70</v>
      </c>
      <c r="L17" s="165">
        <f t="shared" si="1"/>
        <v>3.0441257830327903E-2</v>
      </c>
      <c r="O17" s="163" t="s">
        <v>128</v>
      </c>
      <c r="P17" s="164">
        <v>458</v>
      </c>
      <c r="Q17" s="164">
        <v>1357</v>
      </c>
      <c r="R17" s="164">
        <v>1602</v>
      </c>
      <c r="S17" s="164">
        <v>1492</v>
      </c>
      <c r="T17" s="164">
        <v>1616</v>
      </c>
      <c r="U17" s="164">
        <v>1872</v>
      </c>
      <c r="V17" s="179">
        <f t="shared" si="5"/>
        <v>0.15841584158415833</v>
      </c>
      <c r="W17" s="163">
        <f t="shared" si="3"/>
        <v>256</v>
      </c>
      <c r="X17" s="165">
        <f t="shared" si="2"/>
        <v>1.0695859354020374E-2</v>
      </c>
    </row>
    <row r="18" spans="1:24" x14ac:dyDescent="0.25">
      <c r="A18" s="1"/>
      <c r="B18" s="163" t="s">
        <v>124</v>
      </c>
      <c r="C18" s="164">
        <v>42225</v>
      </c>
      <c r="D18" s="164">
        <v>26596</v>
      </c>
      <c r="E18" s="164">
        <v>105149</v>
      </c>
      <c r="F18" s="164">
        <v>102975</v>
      </c>
      <c r="G18" s="164">
        <v>111820</v>
      </c>
      <c r="H18" s="164">
        <v>101007</v>
      </c>
      <c r="I18" s="164">
        <v>102216</v>
      </c>
      <c r="J18" s="179">
        <f t="shared" si="4"/>
        <v>1.1969467462651151E-2</v>
      </c>
      <c r="K18" s="163">
        <f t="shared" si="0"/>
        <v>1209</v>
      </c>
      <c r="L18" s="165">
        <f t="shared" si="1"/>
        <v>2.7653113261271546E-2</v>
      </c>
      <c r="O18" s="163" t="s">
        <v>124</v>
      </c>
      <c r="P18" s="164">
        <v>406</v>
      </c>
      <c r="Q18" s="164">
        <v>1057</v>
      </c>
      <c r="R18" s="164">
        <v>1152</v>
      </c>
      <c r="S18" s="164">
        <v>1208</v>
      </c>
      <c r="T18" s="164">
        <v>1383</v>
      </c>
      <c r="U18" s="164">
        <v>1415</v>
      </c>
      <c r="V18" s="179">
        <f t="shared" si="5"/>
        <v>2.3138105567606759E-2</v>
      </c>
      <c r="W18" s="163">
        <f t="shared" si="3"/>
        <v>32</v>
      </c>
      <c r="X18" s="165">
        <f t="shared" si="2"/>
        <v>8.0847441164203157E-3</v>
      </c>
    </row>
    <row r="19" spans="1:24" x14ac:dyDescent="0.25">
      <c r="A19" s="1"/>
      <c r="B19" s="163" t="s">
        <v>133</v>
      </c>
      <c r="C19" s="164">
        <v>35555</v>
      </c>
      <c r="D19" s="164">
        <v>2339</v>
      </c>
      <c r="E19" s="164">
        <v>43306</v>
      </c>
      <c r="F19" s="164">
        <v>53680</v>
      </c>
      <c r="G19" s="164">
        <v>50513</v>
      </c>
      <c r="H19" s="164">
        <v>47663</v>
      </c>
      <c r="I19" s="164">
        <v>42357</v>
      </c>
      <c r="J19" s="179">
        <f t="shared" si="4"/>
        <v>-0.11132324864150389</v>
      </c>
      <c r="K19" s="163">
        <f t="shared" si="0"/>
        <v>-5306</v>
      </c>
      <c r="L19" s="165">
        <f t="shared" si="1"/>
        <v>1.1459095625026209E-2</v>
      </c>
      <c r="O19" s="163" t="s">
        <v>133</v>
      </c>
      <c r="P19" s="164">
        <v>64</v>
      </c>
      <c r="Q19" s="164">
        <v>646</v>
      </c>
      <c r="R19" s="164">
        <v>851</v>
      </c>
      <c r="S19" s="164">
        <v>981</v>
      </c>
      <c r="T19" s="164">
        <v>772</v>
      </c>
      <c r="U19" s="164">
        <v>585</v>
      </c>
      <c r="V19" s="179">
        <f t="shared" si="5"/>
        <v>-0.24222797927461137</v>
      </c>
      <c r="W19" s="163">
        <f t="shared" si="3"/>
        <v>-187</v>
      </c>
      <c r="X19" s="165">
        <f t="shared" si="2"/>
        <v>3.3424560481313671E-3</v>
      </c>
    </row>
    <row r="20" spans="1:24" x14ac:dyDescent="0.25">
      <c r="A20" s="162" t="s">
        <v>149</v>
      </c>
      <c r="B20" s="163" t="s">
        <v>136</v>
      </c>
      <c r="C20" s="164">
        <v>51599</v>
      </c>
      <c r="D20" s="164">
        <v>3671</v>
      </c>
      <c r="E20" s="164">
        <v>33918</v>
      </c>
      <c r="F20" s="164">
        <v>49196</v>
      </c>
      <c r="G20" s="164">
        <v>53356</v>
      </c>
      <c r="H20" s="164">
        <v>41977</v>
      </c>
      <c r="I20" s="164">
        <v>41483</v>
      </c>
      <c r="J20" s="179">
        <f t="shared" si="4"/>
        <v>-1.1768349334159156E-2</v>
      </c>
      <c r="K20" s="163">
        <f t="shared" si="0"/>
        <v>-494</v>
      </c>
      <c r="L20" s="165">
        <f t="shared" si="1"/>
        <v>1.1222647114124282E-2</v>
      </c>
      <c r="O20" s="163" t="s">
        <v>136</v>
      </c>
      <c r="P20" s="164">
        <v>179</v>
      </c>
      <c r="Q20" s="164">
        <v>1107</v>
      </c>
      <c r="R20" s="164">
        <v>1559</v>
      </c>
      <c r="S20" s="164">
        <v>1490</v>
      </c>
      <c r="T20" s="164">
        <v>1446</v>
      </c>
      <c r="U20" s="164">
        <v>1319</v>
      </c>
      <c r="V20" s="179">
        <f t="shared" si="5"/>
        <v>-8.7828492392807767E-2</v>
      </c>
      <c r="W20" s="163">
        <f t="shared" si="3"/>
        <v>-127</v>
      </c>
      <c r="X20" s="165">
        <f t="shared" si="2"/>
        <v>7.5362385085218347E-3</v>
      </c>
    </row>
    <row r="21" spans="1:24" x14ac:dyDescent="0.25">
      <c r="A21" s="167" t="s">
        <v>150</v>
      </c>
      <c r="B21" s="168" t="s">
        <v>150</v>
      </c>
      <c r="C21" s="169">
        <f t="shared" ref="C21:I21" si="6">C13-SUM(C14:C20)</f>
        <v>287754</v>
      </c>
      <c r="D21" s="169">
        <f t="shared" si="6"/>
        <v>199008</v>
      </c>
      <c r="E21" s="169">
        <f t="shared" si="6"/>
        <v>669122</v>
      </c>
      <c r="F21" s="169">
        <f t="shared" si="6"/>
        <v>767059</v>
      </c>
      <c r="G21" s="169">
        <f t="shared" si="6"/>
        <v>838549</v>
      </c>
      <c r="H21" s="169">
        <f t="shared" si="6"/>
        <v>854013</v>
      </c>
      <c r="I21" s="169">
        <f t="shared" si="6"/>
        <v>835470</v>
      </c>
      <c r="J21" s="180">
        <f t="shared" si="4"/>
        <v>-2.1712784231621818E-2</v>
      </c>
      <c r="K21" s="168">
        <f t="shared" si="0"/>
        <v>-18543</v>
      </c>
      <c r="L21" s="170">
        <f t="shared" si="1"/>
        <v>0.22602475675427075</v>
      </c>
      <c r="O21" s="168" t="s">
        <v>150</v>
      </c>
      <c r="P21" s="169">
        <f t="shared" ref="P21:U21" si="7">P13-SUM(P14:P20)</f>
        <v>17285</v>
      </c>
      <c r="Q21" s="169">
        <f t="shared" si="7"/>
        <v>30685</v>
      </c>
      <c r="R21" s="169">
        <f t="shared" si="7"/>
        <v>32399</v>
      </c>
      <c r="S21" s="169">
        <f t="shared" si="7"/>
        <v>33266</v>
      </c>
      <c r="T21" s="169">
        <f t="shared" si="7"/>
        <v>36299</v>
      </c>
      <c r="U21" s="169">
        <f t="shared" si="7"/>
        <v>39589</v>
      </c>
      <c r="V21" s="180">
        <f t="shared" si="5"/>
        <v>9.0636105677842416E-2</v>
      </c>
      <c r="W21" s="168">
        <f>U21-T21</f>
        <v>3290</v>
      </c>
      <c r="X21" s="170">
        <f t="shared" si="2"/>
        <v>0.22619571365721827</v>
      </c>
    </row>
    <row r="22" spans="1:24" x14ac:dyDescent="0.25">
      <c r="A22" s="1"/>
      <c r="B22" s="155" t="s">
        <v>46</v>
      </c>
      <c r="C22" s="153"/>
      <c r="D22" s="153"/>
      <c r="E22" s="153"/>
      <c r="F22" s="153"/>
      <c r="G22" s="153"/>
      <c r="H22" s="153"/>
      <c r="I22" s="153"/>
      <c r="J22" s="154"/>
      <c r="K22" s="154"/>
      <c r="L22" s="153"/>
    </row>
    <row r="23" spans="1:24" x14ac:dyDescent="0.25">
      <c r="A23" s="1"/>
      <c r="B23" s="156" t="s">
        <v>73</v>
      </c>
      <c r="C23" s="176">
        <v>439711</v>
      </c>
      <c r="D23" s="176">
        <v>317821</v>
      </c>
      <c r="E23" s="176">
        <v>1189041</v>
      </c>
      <c r="F23" s="176">
        <v>1300189</v>
      </c>
      <c r="G23" s="176">
        <v>1355057</v>
      </c>
      <c r="H23" s="176">
        <v>1283722</v>
      </c>
      <c r="I23" s="176">
        <v>1295476</v>
      </c>
      <c r="J23" s="177">
        <f>IFERROR(I23/H23-1,"-")</f>
        <v>9.1561880220172309E-3</v>
      </c>
      <c r="K23" s="176">
        <f>I23-H23</f>
        <v>11754</v>
      </c>
      <c r="L23" s="177">
        <f t="shared" ref="L23:L35" si="8">I23/I$9</f>
        <v>0.35047296465581729</v>
      </c>
    </row>
    <row r="24" spans="1:24" x14ac:dyDescent="0.25">
      <c r="A24" s="1" t="s">
        <v>101</v>
      </c>
      <c r="B24" s="159" t="s">
        <v>102</v>
      </c>
      <c r="C24" s="160">
        <v>24401</v>
      </c>
      <c r="D24" s="160">
        <v>147436</v>
      </c>
      <c r="E24" s="160">
        <v>129908</v>
      </c>
      <c r="F24" s="160">
        <v>115993</v>
      </c>
      <c r="G24" s="160">
        <v>100297</v>
      </c>
      <c r="H24" s="160">
        <v>88558</v>
      </c>
      <c r="I24" s="160">
        <v>95938</v>
      </c>
      <c r="J24" s="178">
        <f>IFERROR(I24/H24-1,"-")</f>
        <v>8.3335215339099822E-2</v>
      </c>
      <c r="K24" s="159">
        <f t="shared" ref="K24:K34" si="9">I24-H24</f>
        <v>7380</v>
      </c>
      <c r="L24" s="161">
        <f t="shared" si="8"/>
        <v>2.5954687916371896E-2</v>
      </c>
    </row>
    <row r="25" spans="1:24" x14ac:dyDescent="0.25">
      <c r="A25" s="162" t="s">
        <v>108</v>
      </c>
      <c r="B25" s="163" t="s">
        <v>108</v>
      </c>
      <c r="C25" s="164">
        <v>10723</v>
      </c>
      <c r="D25" s="164">
        <v>84540</v>
      </c>
      <c r="E25" s="164">
        <v>55274</v>
      </c>
      <c r="F25" s="164">
        <v>47746</v>
      </c>
      <c r="G25" s="164">
        <v>37880</v>
      </c>
      <c r="H25" s="164">
        <v>37785</v>
      </c>
      <c r="I25" s="164">
        <v>42360</v>
      </c>
      <c r="J25" s="179">
        <f>IFERROR(I25/H25-1,"-")</f>
        <v>0.12107979356887655</v>
      </c>
      <c r="K25" s="163">
        <f t="shared" si="9"/>
        <v>4575</v>
      </c>
      <c r="L25" s="165">
        <f t="shared" si="8"/>
        <v>1.1459907233187199E-2</v>
      </c>
    </row>
    <row r="26" spans="1:24" x14ac:dyDescent="0.25">
      <c r="A26" s="162" t="s">
        <v>105</v>
      </c>
      <c r="B26" s="163" t="s">
        <v>105</v>
      </c>
      <c r="C26" s="164">
        <v>13678</v>
      </c>
      <c r="D26" s="164">
        <v>62896</v>
      </c>
      <c r="E26" s="164">
        <v>74634</v>
      </c>
      <c r="F26" s="164">
        <v>68247</v>
      </c>
      <c r="G26" s="164">
        <v>62417</v>
      </c>
      <c r="H26" s="164">
        <v>50773</v>
      </c>
      <c r="I26" s="164">
        <v>53578</v>
      </c>
      <c r="J26" s="179">
        <f>IFERROR(I26/H26-1,"-")</f>
        <v>5.5245898410572591E-2</v>
      </c>
      <c r="K26" s="163">
        <f t="shared" si="9"/>
        <v>2805</v>
      </c>
      <c r="L26" s="165">
        <f t="shared" si="8"/>
        <v>1.4494780683184697E-2</v>
      </c>
    </row>
    <row r="27" spans="1:24" x14ac:dyDescent="0.25">
      <c r="A27" s="1"/>
      <c r="B27" s="159" t="s">
        <v>112</v>
      </c>
      <c r="C27" s="160">
        <v>415310</v>
      </c>
      <c r="D27" s="160">
        <v>170385</v>
      </c>
      <c r="E27" s="160">
        <v>1059133</v>
      </c>
      <c r="F27" s="160">
        <v>1184196</v>
      </c>
      <c r="G27" s="160">
        <v>1254760</v>
      </c>
      <c r="H27" s="160">
        <v>1195164</v>
      </c>
      <c r="I27" s="160">
        <v>1199538</v>
      </c>
      <c r="J27" s="178">
        <f>IFERROR(I27/H27-1,"-")</f>
        <v>3.6597487876139922E-3</v>
      </c>
      <c r="K27" s="159">
        <f t="shared" si="9"/>
        <v>4374</v>
      </c>
      <c r="L27" s="161">
        <f t="shared" si="8"/>
        <v>0.32451827673944539</v>
      </c>
    </row>
    <row r="28" spans="1:24" s="57" customFormat="1" x14ac:dyDescent="0.25">
      <c r="B28" s="163" t="s">
        <v>115</v>
      </c>
      <c r="C28" s="164">
        <v>190725</v>
      </c>
      <c r="D28" s="164">
        <v>17132</v>
      </c>
      <c r="E28" s="164">
        <v>521684</v>
      </c>
      <c r="F28" s="164">
        <v>604213</v>
      </c>
      <c r="G28" s="164">
        <v>646021</v>
      </c>
      <c r="H28" s="164">
        <v>624844</v>
      </c>
      <c r="I28" s="164">
        <v>628104</v>
      </c>
      <c r="J28" s="179">
        <f t="shared" ref="J28:J35" si="10">IFERROR(I28/H28-1,"-")</f>
        <v>5.2173022386388102E-3</v>
      </c>
      <c r="K28" s="163">
        <f t="shared" si="9"/>
        <v>3260</v>
      </c>
      <c r="L28" s="165">
        <f t="shared" si="8"/>
        <v>0.16992477745027887</v>
      </c>
    </row>
    <row r="29" spans="1:24" s="57" customFormat="1" x14ac:dyDescent="0.25">
      <c r="B29" s="163" t="s">
        <v>118</v>
      </c>
      <c r="C29" s="164">
        <v>50910</v>
      </c>
      <c r="D29" s="164">
        <v>31251</v>
      </c>
      <c r="E29" s="164">
        <v>115599</v>
      </c>
      <c r="F29" s="164">
        <v>127170</v>
      </c>
      <c r="G29" s="164">
        <v>128479</v>
      </c>
      <c r="H29" s="164">
        <v>120011</v>
      </c>
      <c r="I29" s="164">
        <v>113004</v>
      </c>
      <c r="J29" s="179">
        <f t="shared" si="10"/>
        <v>-5.8386314587829502E-2</v>
      </c>
      <c r="K29" s="163">
        <f t="shared" si="9"/>
        <v>-7007</v>
      </c>
      <c r="L29" s="165">
        <f t="shared" si="8"/>
        <v>3.0571656208193725E-2</v>
      </c>
    </row>
    <row r="30" spans="1:24" x14ac:dyDescent="0.25">
      <c r="A30" s="1"/>
      <c r="B30" s="163" t="s">
        <v>121</v>
      </c>
      <c r="C30" s="164">
        <v>16130</v>
      </c>
      <c r="D30" s="164">
        <v>23420</v>
      </c>
      <c r="E30" s="164">
        <v>43397</v>
      </c>
      <c r="F30" s="164">
        <v>45367</v>
      </c>
      <c r="G30" s="164">
        <v>45062</v>
      </c>
      <c r="H30" s="164">
        <v>36186</v>
      </c>
      <c r="I30" s="164">
        <v>42243</v>
      </c>
      <c r="J30" s="179">
        <f t="shared" si="10"/>
        <v>0.16738517658763064</v>
      </c>
      <c r="K30" s="163">
        <f t="shared" si="9"/>
        <v>6057</v>
      </c>
      <c r="L30" s="165">
        <f t="shared" si="8"/>
        <v>1.1428254514908566E-2</v>
      </c>
    </row>
    <row r="31" spans="1:24" x14ac:dyDescent="0.25">
      <c r="A31" s="1"/>
      <c r="B31" s="163" t="s">
        <v>128</v>
      </c>
      <c r="C31" s="164">
        <v>15632</v>
      </c>
      <c r="D31" s="164">
        <v>8777</v>
      </c>
      <c r="E31" s="164">
        <v>58721</v>
      </c>
      <c r="F31" s="164">
        <v>50572</v>
      </c>
      <c r="G31" s="164">
        <v>50573</v>
      </c>
      <c r="H31" s="164">
        <v>47374</v>
      </c>
      <c r="I31" s="164">
        <v>49267</v>
      </c>
      <c r="J31" s="179">
        <f t="shared" si="10"/>
        <v>3.9958627095030952E-2</v>
      </c>
      <c r="K31" s="163">
        <f t="shared" si="9"/>
        <v>1893</v>
      </c>
      <c r="L31" s="165">
        <f t="shared" si="8"/>
        <v>1.3328499755841211E-2</v>
      </c>
    </row>
    <row r="32" spans="1:24" x14ac:dyDescent="0.25">
      <c r="A32" s="1"/>
      <c r="B32" s="163" t="s">
        <v>124</v>
      </c>
      <c r="C32" s="164">
        <v>20897</v>
      </c>
      <c r="D32" s="164">
        <v>15208</v>
      </c>
      <c r="E32" s="164">
        <v>61289</v>
      </c>
      <c r="F32" s="164">
        <v>55504</v>
      </c>
      <c r="G32" s="164">
        <v>58385</v>
      </c>
      <c r="H32" s="164">
        <v>53998</v>
      </c>
      <c r="I32" s="164">
        <v>55865</v>
      </c>
      <c r="J32" s="179">
        <f t="shared" si="10"/>
        <v>3.4575354642764511E-2</v>
      </c>
      <c r="K32" s="163">
        <f t="shared" si="9"/>
        <v>1867</v>
      </c>
      <c r="L32" s="165">
        <f t="shared" si="8"/>
        <v>1.5113496637913193E-2</v>
      </c>
    </row>
    <row r="33" spans="1:12" x14ac:dyDescent="0.25">
      <c r="A33" s="1"/>
      <c r="B33" s="163" t="s">
        <v>133</v>
      </c>
      <c r="C33" s="164">
        <v>14159</v>
      </c>
      <c r="D33" s="164">
        <v>410</v>
      </c>
      <c r="E33" s="164">
        <v>16676</v>
      </c>
      <c r="F33" s="164">
        <v>18986</v>
      </c>
      <c r="G33" s="164">
        <v>18776</v>
      </c>
      <c r="H33" s="164">
        <v>16666</v>
      </c>
      <c r="I33" s="164">
        <v>17021</v>
      </c>
      <c r="J33" s="179">
        <f t="shared" si="10"/>
        <v>2.1300852034081386E-2</v>
      </c>
      <c r="K33" s="163">
        <f t="shared" si="9"/>
        <v>355</v>
      </c>
      <c r="L33" s="165">
        <f t="shared" si="8"/>
        <v>4.6047941694069717E-3</v>
      </c>
    </row>
    <row r="34" spans="1:12" x14ac:dyDescent="0.25">
      <c r="A34" s="162" t="s">
        <v>149</v>
      </c>
      <c r="B34" s="163" t="s">
        <v>136</v>
      </c>
      <c r="C34" s="164">
        <v>16043</v>
      </c>
      <c r="D34" s="164">
        <v>517</v>
      </c>
      <c r="E34" s="164">
        <v>10519</v>
      </c>
      <c r="F34" s="164">
        <v>17294</v>
      </c>
      <c r="G34" s="164">
        <v>17552</v>
      </c>
      <c r="H34" s="164">
        <v>13788</v>
      </c>
      <c r="I34" s="164">
        <v>13878</v>
      </c>
      <c r="J34" s="179">
        <f t="shared" si="10"/>
        <v>6.5274151436032213E-3</v>
      </c>
      <c r="K34" s="163">
        <f t="shared" si="9"/>
        <v>90</v>
      </c>
      <c r="L34" s="165">
        <f t="shared" si="8"/>
        <v>3.7544993527424916E-3</v>
      </c>
    </row>
    <row r="35" spans="1:12" x14ac:dyDescent="0.25">
      <c r="A35" s="167" t="s">
        <v>150</v>
      </c>
      <c r="B35" s="168" t="s">
        <v>150</v>
      </c>
      <c r="C35" s="169">
        <f t="shared" ref="C35:I35" si="11">C27-SUM(C28:C34)</f>
        <v>90814</v>
      </c>
      <c r="D35" s="169">
        <f t="shared" si="11"/>
        <v>73670</v>
      </c>
      <c r="E35" s="169">
        <f t="shared" si="11"/>
        <v>231248</v>
      </c>
      <c r="F35" s="169">
        <f t="shared" si="11"/>
        <v>265090</v>
      </c>
      <c r="G35" s="169">
        <f t="shared" si="11"/>
        <v>289912</v>
      </c>
      <c r="H35" s="169">
        <f t="shared" si="11"/>
        <v>282297</v>
      </c>
      <c r="I35" s="169">
        <f t="shared" si="11"/>
        <v>280156</v>
      </c>
      <c r="J35" s="180">
        <f t="shared" si="10"/>
        <v>-7.584210955128845E-3</v>
      </c>
      <c r="K35" s="168">
        <f>I35-H35</f>
        <v>-2141</v>
      </c>
      <c r="L35" s="170">
        <f t="shared" si="8"/>
        <v>7.5792298650160364E-2</v>
      </c>
    </row>
    <row r="36" spans="1:12" x14ac:dyDescent="0.25">
      <c r="A36" s="1"/>
      <c r="B36" s="155" t="s">
        <v>47</v>
      </c>
      <c r="C36" s="153"/>
      <c r="D36" s="153"/>
      <c r="E36" s="153"/>
      <c r="F36" s="153"/>
      <c r="G36" s="153"/>
      <c r="H36" s="153"/>
      <c r="I36" s="153"/>
      <c r="J36" s="154"/>
      <c r="K36" s="154"/>
      <c r="L36" s="153"/>
    </row>
    <row r="37" spans="1:12" x14ac:dyDescent="0.25">
      <c r="A37" s="1"/>
      <c r="B37" s="156" t="s">
        <v>73</v>
      </c>
      <c r="C37" s="176">
        <v>324285</v>
      </c>
      <c r="D37" s="176">
        <v>139606</v>
      </c>
      <c r="E37" s="176">
        <v>824563</v>
      </c>
      <c r="F37" s="176">
        <v>905753</v>
      </c>
      <c r="G37" s="176">
        <v>957908</v>
      </c>
      <c r="H37" s="176">
        <v>981564</v>
      </c>
      <c r="I37" s="176">
        <v>1003702</v>
      </c>
      <c r="J37" s="177">
        <f>IFERROR(I37/H37-1,"-")</f>
        <v>2.2553801891674885E-2</v>
      </c>
      <c r="K37" s="176">
        <f>I37-H37</f>
        <v>22138</v>
      </c>
      <c r="L37" s="177">
        <f t="shared" ref="L37:L49" si="12">I37/I$9</f>
        <v>0.27153757813419399</v>
      </c>
    </row>
    <row r="38" spans="1:12" x14ac:dyDescent="0.25">
      <c r="A38" s="1" t="s">
        <v>101</v>
      </c>
      <c r="B38" s="159" t="s">
        <v>102</v>
      </c>
      <c r="C38" s="160">
        <v>17239</v>
      </c>
      <c r="D38" s="160">
        <v>43913</v>
      </c>
      <c r="E38" s="160">
        <v>75385</v>
      </c>
      <c r="F38" s="160">
        <v>70243</v>
      </c>
      <c r="G38" s="160">
        <v>68897</v>
      </c>
      <c r="H38" s="160">
        <v>70667</v>
      </c>
      <c r="I38" s="160">
        <v>86707</v>
      </c>
      <c r="J38" s="178">
        <f>IFERROR(I38/H38-1,"-")</f>
        <v>0.22698006141480476</v>
      </c>
      <c r="K38" s="159">
        <f t="shared" ref="K38:K48" si="13">I38-H38</f>
        <v>16040</v>
      </c>
      <c r="L38" s="161">
        <f t="shared" si="12"/>
        <v>2.3457369605003834E-2</v>
      </c>
    </row>
    <row r="39" spans="1:12" x14ac:dyDescent="0.25">
      <c r="A39" s="162" t="s">
        <v>108</v>
      </c>
      <c r="B39" s="163" t="s">
        <v>108</v>
      </c>
      <c r="C39" s="164">
        <v>6178</v>
      </c>
      <c r="D39" s="164">
        <v>30519</v>
      </c>
      <c r="E39" s="164">
        <v>30455</v>
      </c>
      <c r="F39" s="164">
        <v>29472</v>
      </c>
      <c r="G39" s="164">
        <v>30491</v>
      </c>
      <c r="H39" s="164">
        <v>28841</v>
      </c>
      <c r="I39" s="164">
        <v>41630</v>
      </c>
      <c r="J39" s="179">
        <f>IFERROR(I39/H39-1,"-")</f>
        <v>0.44343122637911314</v>
      </c>
      <c r="K39" s="163">
        <f t="shared" si="13"/>
        <v>12789</v>
      </c>
      <c r="L39" s="165">
        <f t="shared" si="12"/>
        <v>1.126241591401282E-2</v>
      </c>
    </row>
    <row r="40" spans="1:12" x14ac:dyDescent="0.25">
      <c r="A40" s="162" t="s">
        <v>105</v>
      </c>
      <c r="B40" s="163" t="s">
        <v>105</v>
      </c>
      <c r="C40" s="164">
        <v>11061</v>
      </c>
      <c r="D40" s="164">
        <v>13394</v>
      </c>
      <c r="E40" s="164">
        <v>44930</v>
      </c>
      <c r="F40" s="164">
        <v>40771</v>
      </c>
      <c r="G40" s="164">
        <v>38406</v>
      </c>
      <c r="H40" s="164">
        <v>41826</v>
      </c>
      <c r="I40" s="164">
        <v>45077</v>
      </c>
      <c r="J40" s="179">
        <f>IFERROR(I40/H40-1,"-")</f>
        <v>7.7726772820733592E-2</v>
      </c>
      <c r="K40" s="163">
        <f t="shared" si="13"/>
        <v>3251</v>
      </c>
      <c r="L40" s="165">
        <f t="shared" si="12"/>
        <v>1.2194953690991014E-2</v>
      </c>
    </row>
    <row r="41" spans="1:12" x14ac:dyDescent="0.25">
      <c r="A41" s="1"/>
      <c r="B41" s="159" t="s">
        <v>112</v>
      </c>
      <c r="C41" s="160">
        <v>307046</v>
      </c>
      <c r="D41" s="160">
        <v>95693</v>
      </c>
      <c r="E41" s="160">
        <v>749178</v>
      </c>
      <c r="F41" s="160">
        <v>835510</v>
      </c>
      <c r="G41" s="160">
        <v>889011</v>
      </c>
      <c r="H41" s="160">
        <v>910897</v>
      </c>
      <c r="I41" s="160">
        <v>916995</v>
      </c>
      <c r="J41" s="178">
        <f>IFERROR(I41/H41-1,"-")</f>
        <v>6.6945000367768515E-3</v>
      </c>
      <c r="K41" s="159">
        <f t="shared" si="13"/>
        <v>6098</v>
      </c>
      <c r="L41" s="161">
        <f t="shared" si="12"/>
        <v>0.24808020852919016</v>
      </c>
    </row>
    <row r="42" spans="1:12" s="57" customFormat="1" x14ac:dyDescent="0.25">
      <c r="B42" s="163" t="s">
        <v>115</v>
      </c>
      <c r="C42" s="164">
        <v>140970</v>
      </c>
      <c r="D42" s="164">
        <v>8636</v>
      </c>
      <c r="E42" s="164">
        <v>377874</v>
      </c>
      <c r="F42" s="164">
        <v>433270</v>
      </c>
      <c r="G42" s="164">
        <v>469809</v>
      </c>
      <c r="H42" s="164">
        <v>477951</v>
      </c>
      <c r="I42" s="164">
        <v>485927</v>
      </c>
      <c r="J42" s="179">
        <f t="shared" ref="J42:J49" si="14">IFERROR(I42/H42-1,"-")</f>
        <v>1.6687903153252082E-2</v>
      </c>
      <c r="K42" s="163">
        <f t="shared" si="13"/>
        <v>7976</v>
      </c>
      <c r="L42" s="165">
        <f t="shared" si="12"/>
        <v>0.13146077294855893</v>
      </c>
    </row>
    <row r="43" spans="1:12" s="57" customFormat="1" x14ac:dyDescent="0.25">
      <c r="B43" s="163" t="s">
        <v>118</v>
      </c>
      <c r="C43" s="164">
        <v>14886</v>
      </c>
      <c r="D43" s="164">
        <v>6506</v>
      </c>
      <c r="E43" s="164">
        <v>25918</v>
      </c>
      <c r="F43" s="164">
        <v>30896</v>
      </c>
      <c r="G43" s="164">
        <v>30281</v>
      </c>
      <c r="H43" s="164">
        <v>32501</v>
      </c>
      <c r="I43" s="164">
        <v>34856</v>
      </c>
      <c r="J43" s="179">
        <f t="shared" si="14"/>
        <v>7.2459308944340162E-2</v>
      </c>
      <c r="K43" s="163">
        <f t="shared" si="13"/>
        <v>2355</v>
      </c>
      <c r="L43" s="165">
        <f t="shared" si="12"/>
        <v>9.4298046864960579E-3</v>
      </c>
    </row>
    <row r="44" spans="1:12" x14ac:dyDescent="0.25">
      <c r="A44" s="1"/>
      <c r="B44" s="163" t="s">
        <v>121</v>
      </c>
      <c r="C44" s="164">
        <v>7059</v>
      </c>
      <c r="D44" s="164">
        <v>10045</v>
      </c>
      <c r="E44" s="164">
        <v>17777</v>
      </c>
      <c r="F44" s="164">
        <v>20177</v>
      </c>
      <c r="G44" s="164">
        <v>20812</v>
      </c>
      <c r="H44" s="164">
        <v>21731</v>
      </c>
      <c r="I44" s="164">
        <v>26530</v>
      </c>
      <c r="J44" s="179">
        <f t="shared" si="14"/>
        <v>0.2208365928857392</v>
      </c>
      <c r="K44" s="163">
        <f t="shared" si="13"/>
        <v>4799</v>
      </c>
      <c r="L44" s="165">
        <f t="shared" si="12"/>
        <v>7.1773215036934936E-3</v>
      </c>
    </row>
    <row r="45" spans="1:12" x14ac:dyDescent="0.25">
      <c r="A45" s="1"/>
      <c r="B45" s="163" t="s">
        <v>128</v>
      </c>
      <c r="C45" s="164">
        <v>13054</v>
      </c>
      <c r="D45" s="164">
        <v>6920</v>
      </c>
      <c r="E45" s="164">
        <v>42948</v>
      </c>
      <c r="F45" s="164">
        <v>38439</v>
      </c>
      <c r="G45" s="164">
        <v>40791</v>
      </c>
      <c r="H45" s="164">
        <v>37245</v>
      </c>
      <c r="I45" s="164">
        <v>38895</v>
      </c>
      <c r="J45" s="179">
        <f t="shared" si="14"/>
        <v>4.4301248489730272E-2</v>
      </c>
      <c r="K45" s="163">
        <f t="shared" si="13"/>
        <v>1650</v>
      </c>
      <c r="L45" s="165">
        <f t="shared" si="12"/>
        <v>1.0522499807243062E-2</v>
      </c>
    </row>
    <row r="46" spans="1:12" x14ac:dyDescent="0.25">
      <c r="A46" s="1"/>
      <c r="B46" s="163" t="s">
        <v>124</v>
      </c>
      <c r="C46" s="164">
        <v>11786</v>
      </c>
      <c r="D46" s="164">
        <v>5229</v>
      </c>
      <c r="E46" s="164">
        <v>26262</v>
      </c>
      <c r="F46" s="164">
        <v>29692</v>
      </c>
      <c r="G46" s="164">
        <v>32519</v>
      </c>
      <c r="H46" s="164">
        <v>27785</v>
      </c>
      <c r="I46" s="164">
        <v>28077</v>
      </c>
      <c r="J46" s="179">
        <f t="shared" si="14"/>
        <v>1.0509267590426585E-2</v>
      </c>
      <c r="K46" s="163">
        <f t="shared" si="13"/>
        <v>292</v>
      </c>
      <c r="L46" s="165">
        <f t="shared" si="12"/>
        <v>7.5958407787109772E-3</v>
      </c>
    </row>
    <row r="47" spans="1:12" x14ac:dyDescent="0.25">
      <c r="A47" s="1"/>
      <c r="B47" s="163" t="s">
        <v>133</v>
      </c>
      <c r="C47" s="164">
        <v>12179</v>
      </c>
      <c r="D47" s="164">
        <v>1385</v>
      </c>
      <c r="E47" s="164">
        <v>16381</v>
      </c>
      <c r="F47" s="164">
        <v>18547</v>
      </c>
      <c r="G47" s="164">
        <v>17489</v>
      </c>
      <c r="H47" s="164">
        <v>17690</v>
      </c>
      <c r="I47" s="164">
        <v>14209</v>
      </c>
      <c r="J47" s="179">
        <f t="shared" si="14"/>
        <v>-0.19677784058790282</v>
      </c>
      <c r="K47" s="163">
        <f t="shared" si="13"/>
        <v>-3481</v>
      </c>
      <c r="L47" s="165">
        <f t="shared" si="12"/>
        <v>3.8440467865051204E-3</v>
      </c>
    </row>
    <row r="48" spans="1:12" x14ac:dyDescent="0.25">
      <c r="A48" s="162" t="s">
        <v>149</v>
      </c>
      <c r="B48" s="163" t="s">
        <v>136</v>
      </c>
      <c r="C48" s="164">
        <v>20180</v>
      </c>
      <c r="D48" s="164">
        <v>2187</v>
      </c>
      <c r="E48" s="164">
        <v>14923</v>
      </c>
      <c r="F48" s="164">
        <v>18408</v>
      </c>
      <c r="G48" s="164">
        <v>19925</v>
      </c>
      <c r="H48" s="164">
        <v>15738</v>
      </c>
      <c r="I48" s="164">
        <v>14986</v>
      </c>
      <c r="J48" s="179">
        <f t="shared" si="14"/>
        <v>-4.7782437412631884E-2</v>
      </c>
      <c r="K48" s="163">
        <f t="shared" si="13"/>
        <v>-752</v>
      </c>
      <c r="L48" s="165">
        <f t="shared" si="12"/>
        <v>4.0542533002016845E-3</v>
      </c>
    </row>
    <row r="49" spans="1:12" x14ac:dyDescent="0.25">
      <c r="A49" s="167" t="s">
        <v>150</v>
      </c>
      <c r="B49" s="168" t="s">
        <v>150</v>
      </c>
      <c r="C49" s="169">
        <f t="shared" ref="C49:I49" si="15">C41-SUM(C42:C48)</f>
        <v>86932</v>
      </c>
      <c r="D49" s="169">
        <f t="shared" si="15"/>
        <v>54785</v>
      </c>
      <c r="E49" s="169">
        <f t="shared" si="15"/>
        <v>227095</v>
      </c>
      <c r="F49" s="169">
        <f t="shared" si="15"/>
        <v>246081</v>
      </c>
      <c r="G49" s="169">
        <f t="shared" si="15"/>
        <v>257385</v>
      </c>
      <c r="H49" s="169">
        <f t="shared" si="15"/>
        <v>280256</v>
      </c>
      <c r="I49" s="169">
        <f t="shared" si="15"/>
        <v>273515</v>
      </c>
      <c r="J49" s="180">
        <f t="shared" si="14"/>
        <v>-2.4053008677780263E-2</v>
      </c>
      <c r="K49" s="168">
        <f>I49-H49</f>
        <v>-6741</v>
      </c>
      <c r="L49" s="170">
        <f t="shared" si="12"/>
        <v>7.3995668717780849E-2</v>
      </c>
    </row>
    <row r="50" spans="1:12" x14ac:dyDescent="0.25">
      <c r="A50" s="1"/>
      <c r="B50" s="155" t="s">
        <v>48</v>
      </c>
      <c r="C50" s="153"/>
      <c r="D50" s="153"/>
      <c r="E50" s="153"/>
      <c r="F50" s="153"/>
      <c r="G50" s="153"/>
      <c r="H50" s="153"/>
      <c r="I50" s="153"/>
      <c r="J50" s="154"/>
      <c r="K50" s="154"/>
      <c r="L50" s="153"/>
    </row>
    <row r="51" spans="1:12" x14ac:dyDescent="0.25">
      <c r="A51" s="1"/>
      <c r="B51" s="156" t="s">
        <v>73</v>
      </c>
      <c r="C51" s="176">
        <v>11900</v>
      </c>
      <c r="D51" s="176">
        <v>7616</v>
      </c>
      <c r="E51" s="176">
        <v>21504</v>
      </c>
      <c r="F51" s="176">
        <v>32658</v>
      </c>
      <c r="G51" s="176">
        <v>29629</v>
      </c>
      <c r="H51" s="176">
        <v>27330</v>
      </c>
      <c r="I51" s="176">
        <v>32291</v>
      </c>
      <c r="J51" s="177">
        <f>IFERROR(I51/H51-1,"-")</f>
        <v>0.18152213684595675</v>
      </c>
      <c r="K51" s="176">
        <f>I51-H51</f>
        <v>4961</v>
      </c>
      <c r="L51" s="177">
        <f t="shared" ref="L51:L63" si="16">I51/I$9</f>
        <v>8.7358797088490994E-3</v>
      </c>
    </row>
    <row r="52" spans="1:12" x14ac:dyDescent="0.25">
      <c r="A52" s="1" t="s">
        <v>101</v>
      </c>
      <c r="B52" s="159" t="s">
        <v>102</v>
      </c>
      <c r="C52" s="160">
        <v>1180</v>
      </c>
      <c r="D52" s="160">
        <v>2479</v>
      </c>
      <c r="E52" s="160">
        <v>2754</v>
      </c>
      <c r="F52" s="160">
        <v>13824</v>
      </c>
      <c r="G52" s="160">
        <v>8425</v>
      </c>
      <c r="H52" s="160">
        <v>5089</v>
      </c>
      <c r="I52" s="160">
        <v>10318</v>
      </c>
      <c r="J52" s="178">
        <f>IFERROR(I52/H52-1,"-")</f>
        <v>1.0275103163686383</v>
      </c>
      <c r="K52" s="159">
        <f t="shared" ref="K52:K62" si="17">I52-H52</f>
        <v>5229</v>
      </c>
      <c r="L52" s="161">
        <f t="shared" si="16"/>
        <v>2.791391001700319E-3</v>
      </c>
    </row>
    <row r="53" spans="1:12" x14ac:dyDescent="0.25">
      <c r="A53" s="162" t="s">
        <v>108</v>
      </c>
      <c r="B53" s="163" t="s">
        <v>108</v>
      </c>
      <c r="C53" s="164">
        <v>576</v>
      </c>
      <c r="D53" s="164">
        <v>1236</v>
      </c>
      <c r="E53" s="164">
        <v>1068</v>
      </c>
      <c r="F53" s="164">
        <v>10258</v>
      </c>
      <c r="G53" s="164">
        <v>5489</v>
      </c>
      <c r="H53" s="164">
        <v>2977</v>
      </c>
      <c r="I53" s="164">
        <v>5038</v>
      </c>
      <c r="J53" s="179">
        <f>IFERROR(I53/H53-1,"-")</f>
        <v>0.69230769230769229</v>
      </c>
      <c r="K53" s="163">
        <f t="shared" si="17"/>
        <v>2061</v>
      </c>
      <c r="L53" s="165">
        <f t="shared" si="16"/>
        <v>1.3629606383568722E-3</v>
      </c>
    </row>
    <row r="54" spans="1:12" x14ac:dyDescent="0.25">
      <c r="A54" s="162" t="s">
        <v>105</v>
      </c>
      <c r="B54" s="163" t="s">
        <v>105</v>
      </c>
      <c r="C54" s="164">
        <v>604</v>
      </c>
      <c r="D54" s="164">
        <v>1243</v>
      </c>
      <c r="E54" s="164">
        <v>1686</v>
      </c>
      <c r="F54" s="164">
        <v>3566</v>
      </c>
      <c r="G54" s="164">
        <v>2936</v>
      </c>
      <c r="H54" s="164">
        <v>2112</v>
      </c>
      <c r="I54" s="164">
        <v>5280</v>
      </c>
      <c r="J54" s="179">
        <f>IFERROR(I54/H54-1,"-")</f>
        <v>1.5</v>
      </c>
      <c r="K54" s="163">
        <f t="shared" si="17"/>
        <v>3168</v>
      </c>
      <c r="L54" s="165">
        <f t="shared" si="16"/>
        <v>1.428430363343447E-3</v>
      </c>
    </row>
    <row r="55" spans="1:12" x14ac:dyDescent="0.25">
      <c r="A55" s="1"/>
      <c r="B55" s="159" t="s">
        <v>112</v>
      </c>
      <c r="C55" s="160">
        <v>10720</v>
      </c>
      <c r="D55" s="160">
        <v>5137</v>
      </c>
      <c r="E55" s="160">
        <v>18750</v>
      </c>
      <c r="F55" s="160">
        <v>18834</v>
      </c>
      <c r="G55" s="160">
        <v>21204</v>
      </c>
      <c r="H55" s="160">
        <v>22241</v>
      </c>
      <c r="I55" s="160">
        <v>21973</v>
      </c>
      <c r="J55" s="178">
        <f>IFERROR(I55/H55-1,"-")</f>
        <v>-1.2049817903871274E-2</v>
      </c>
      <c r="K55" s="159">
        <f t="shared" si="17"/>
        <v>-268</v>
      </c>
      <c r="L55" s="161">
        <f t="shared" si="16"/>
        <v>5.94448870714878E-3</v>
      </c>
    </row>
    <row r="56" spans="1:12" s="57" customFormat="1" x14ac:dyDescent="0.25">
      <c r="B56" s="163" t="s">
        <v>115</v>
      </c>
      <c r="C56" s="164">
        <v>3648</v>
      </c>
      <c r="D56" s="164">
        <v>175</v>
      </c>
      <c r="E56" s="164">
        <v>7073</v>
      </c>
      <c r="F56" s="164">
        <v>6156</v>
      </c>
      <c r="G56" s="164">
        <v>7507</v>
      </c>
      <c r="H56" s="164">
        <v>8173</v>
      </c>
      <c r="I56" s="164">
        <v>6160</v>
      </c>
      <c r="J56" s="179">
        <f t="shared" ref="J56:J63" si="18">IFERROR(I56/H56-1,"-")</f>
        <v>-0.24629878869448185</v>
      </c>
      <c r="K56" s="163">
        <f t="shared" si="17"/>
        <v>-2013</v>
      </c>
      <c r="L56" s="165">
        <f t="shared" si="16"/>
        <v>1.6665020905673547E-3</v>
      </c>
    </row>
    <row r="57" spans="1:12" s="57" customFormat="1" x14ac:dyDescent="0.25">
      <c r="B57" s="163" t="s">
        <v>118</v>
      </c>
      <c r="C57" s="164">
        <v>2760</v>
      </c>
      <c r="D57" s="164">
        <v>1937</v>
      </c>
      <c r="E57" s="164">
        <v>4389</v>
      </c>
      <c r="F57" s="164">
        <v>3385</v>
      </c>
      <c r="G57" s="164">
        <v>3977</v>
      </c>
      <c r="H57" s="164">
        <v>4512</v>
      </c>
      <c r="I57" s="164">
        <v>4886</v>
      </c>
      <c r="J57" s="179">
        <f t="shared" si="18"/>
        <v>8.2890070921985748E-2</v>
      </c>
      <c r="K57" s="163">
        <f t="shared" si="17"/>
        <v>374</v>
      </c>
      <c r="L57" s="165">
        <f t="shared" si="16"/>
        <v>1.3218391582000154E-3</v>
      </c>
    </row>
    <row r="58" spans="1:12" x14ac:dyDescent="0.25">
      <c r="A58" s="1"/>
      <c r="B58" s="163" t="s">
        <v>121</v>
      </c>
      <c r="C58" s="164">
        <v>468</v>
      </c>
      <c r="D58" s="164">
        <v>747</v>
      </c>
      <c r="E58" s="164">
        <v>1341</v>
      </c>
      <c r="F58" s="164">
        <v>1819</v>
      </c>
      <c r="G58" s="164">
        <v>1533</v>
      </c>
      <c r="H58" s="164">
        <v>1424</v>
      </c>
      <c r="I58" s="164">
        <v>2236</v>
      </c>
      <c r="J58" s="179">
        <f t="shared" si="18"/>
        <v>0.5702247191011236</v>
      </c>
      <c r="K58" s="163">
        <f t="shared" si="17"/>
        <v>812</v>
      </c>
      <c r="L58" s="165">
        <f t="shared" si="16"/>
        <v>6.0491861599165663E-4</v>
      </c>
    </row>
    <row r="59" spans="1:12" x14ac:dyDescent="0.25">
      <c r="A59" s="1"/>
      <c r="B59" s="163" t="s">
        <v>128</v>
      </c>
      <c r="C59" s="164">
        <v>223</v>
      </c>
      <c r="D59" s="164">
        <v>128</v>
      </c>
      <c r="E59" s="164">
        <v>521</v>
      </c>
      <c r="F59" s="164">
        <v>424</v>
      </c>
      <c r="G59" s="164">
        <v>654</v>
      </c>
      <c r="H59" s="164">
        <v>651</v>
      </c>
      <c r="I59" s="164">
        <v>923</v>
      </c>
      <c r="J59" s="179">
        <f t="shared" si="18"/>
        <v>0.4178187403993856</v>
      </c>
      <c r="K59" s="163">
        <f t="shared" si="17"/>
        <v>272</v>
      </c>
      <c r="L59" s="165">
        <f t="shared" si="16"/>
        <v>2.4970477753143968E-4</v>
      </c>
    </row>
    <row r="60" spans="1:12" x14ac:dyDescent="0.25">
      <c r="A60" s="1"/>
      <c r="B60" s="163" t="s">
        <v>124</v>
      </c>
      <c r="C60" s="164">
        <v>213</v>
      </c>
      <c r="D60" s="164">
        <v>173</v>
      </c>
      <c r="E60" s="164">
        <v>470</v>
      </c>
      <c r="F60" s="164">
        <v>433</v>
      </c>
      <c r="G60" s="164">
        <v>381</v>
      </c>
      <c r="H60" s="164">
        <v>585</v>
      </c>
      <c r="I60" s="164">
        <v>567</v>
      </c>
      <c r="J60" s="179">
        <f t="shared" si="18"/>
        <v>-3.0769230769230771E-2</v>
      </c>
      <c r="K60" s="163">
        <f t="shared" si="17"/>
        <v>-18</v>
      </c>
      <c r="L60" s="165">
        <f t="shared" si="16"/>
        <v>1.5339394242722243E-4</v>
      </c>
    </row>
    <row r="61" spans="1:12" x14ac:dyDescent="0.25">
      <c r="A61" s="1"/>
      <c r="B61" s="163" t="s">
        <v>133</v>
      </c>
      <c r="C61" s="164">
        <v>147</v>
      </c>
      <c r="D61" s="164">
        <v>39</v>
      </c>
      <c r="E61" s="164">
        <v>68</v>
      </c>
      <c r="F61" s="164">
        <v>170</v>
      </c>
      <c r="G61" s="164">
        <v>98</v>
      </c>
      <c r="H61" s="164">
        <v>180</v>
      </c>
      <c r="I61" s="164">
        <v>138</v>
      </c>
      <c r="J61" s="179">
        <f t="shared" si="18"/>
        <v>-0.23333333333333328</v>
      </c>
      <c r="K61" s="163">
        <f t="shared" si="17"/>
        <v>-42</v>
      </c>
      <c r="L61" s="165">
        <f t="shared" si="16"/>
        <v>3.7333975405567361E-5</v>
      </c>
    </row>
    <row r="62" spans="1:12" x14ac:dyDescent="0.25">
      <c r="A62" s="162" t="s">
        <v>149</v>
      </c>
      <c r="B62" s="163" t="s">
        <v>136</v>
      </c>
      <c r="C62" s="164">
        <v>253</v>
      </c>
      <c r="D62" s="164">
        <v>19</v>
      </c>
      <c r="E62" s="164">
        <v>101</v>
      </c>
      <c r="F62" s="164">
        <v>159</v>
      </c>
      <c r="G62" s="164">
        <v>109</v>
      </c>
      <c r="H62" s="164">
        <v>437</v>
      </c>
      <c r="I62" s="164">
        <v>136</v>
      </c>
      <c r="J62" s="179">
        <f t="shared" si="18"/>
        <v>-0.68878718535469108</v>
      </c>
      <c r="K62" s="163">
        <f t="shared" si="17"/>
        <v>-301</v>
      </c>
      <c r="L62" s="165">
        <f t="shared" si="16"/>
        <v>3.67929032982403E-5</v>
      </c>
    </row>
    <row r="63" spans="1:12" x14ac:dyDescent="0.25">
      <c r="A63" s="167" t="s">
        <v>150</v>
      </c>
      <c r="B63" s="168" t="s">
        <v>150</v>
      </c>
      <c r="C63" s="169">
        <f t="shared" ref="C63:I63" si="19">C55-SUM(C56:C62)</f>
        <v>3008</v>
      </c>
      <c r="D63" s="169">
        <f t="shared" si="19"/>
        <v>1919</v>
      </c>
      <c r="E63" s="169">
        <f t="shared" si="19"/>
        <v>4787</v>
      </c>
      <c r="F63" s="169">
        <f t="shared" si="19"/>
        <v>6288</v>
      </c>
      <c r="G63" s="169">
        <f t="shared" si="19"/>
        <v>6945</v>
      </c>
      <c r="H63" s="169">
        <f t="shared" si="19"/>
        <v>6279</v>
      </c>
      <c r="I63" s="169">
        <f t="shared" si="19"/>
        <v>6927</v>
      </c>
      <c r="J63" s="180">
        <f t="shared" si="18"/>
        <v>0.10320114667940761</v>
      </c>
      <c r="K63" s="168">
        <f>I63-H63</f>
        <v>648</v>
      </c>
      <c r="L63" s="170">
        <f t="shared" si="16"/>
        <v>1.8740032437272833E-3</v>
      </c>
    </row>
    <row r="64" spans="1:12" x14ac:dyDescent="0.25">
      <c r="A64" s="1"/>
      <c r="B64" s="155" t="s">
        <v>49</v>
      </c>
      <c r="C64" s="153"/>
      <c r="D64" s="153"/>
      <c r="E64" s="153"/>
      <c r="F64" s="153"/>
      <c r="G64" s="153"/>
      <c r="H64" s="153"/>
      <c r="I64" s="153"/>
      <c r="J64" s="154"/>
      <c r="K64" s="154"/>
      <c r="L64" s="153"/>
    </row>
    <row r="65" spans="1:12" x14ac:dyDescent="0.25">
      <c r="A65" s="1"/>
      <c r="B65" s="156" t="s">
        <v>73</v>
      </c>
      <c r="C65" s="176">
        <v>29538</v>
      </c>
      <c r="D65" s="176">
        <v>23661</v>
      </c>
      <c r="E65" s="176">
        <v>106766</v>
      </c>
      <c r="F65" s="176">
        <v>119924</v>
      </c>
      <c r="G65" s="176">
        <v>155107</v>
      </c>
      <c r="H65" s="176">
        <v>129030</v>
      </c>
      <c r="I65" s="176">
        <v>129131</v>
      </c>
      <c r="J65" s="177">
        <f>IFERROR(I65/H65-1,"-")</f>
        <v>7.8276369836483006E-4</v>
      </c>
      <c r="K65" s="176">
        <f>I65-H65</f>
        <v>101</v>
      </c>
      <c r="L65" s="177">
        <f t="shared" ref="L65:L77" si="20">I65/I$9</f>
        <v>3.4934591145625499E-2</v>
      </c>
    </row>
    <row r="66" spans="1:12" x14ac:dyDescent="0.25">
      <c r="A66" s="1" t="s">
        <v>101</v>
      </c>
      <c r="B66" s="159" t="s">
        <v>102</v>
      </c>
      <c r="C66" s="160">
        <v>6589</v>
      </c>
      <c r="D66" s="160">
        <v>11879</v>
      </c>
      <c r="E66" s="160">
        <v>29253</v>
      </c>
      <c r="F66" s="160">
        <v>26652</v>
      </c>
      <c r="G66" s="160">
        <v>36940</v>
      </c>
      <c r="H66" s="160">
        <v>28608</v>
      </c>
      <c r="I66" s="160">
        <v>29932</v>
      </c>
      <c r="J66" s="178">
        <f>IFERROR(I66/H66-1,"-")</f>
        <v>4.6280760626398187E-2</v>
      </c>
      <c r="K66" s="159">
        <f t="shared" ref="K66:K76" si="21">I66-H66</f>
        <v>1324</v>
      </c>
      <c r="L66" s="161">
        <f t="shared" si="20"/>
        <v>8.0976851582568281E-3</v>
      </c>
    </row>
    <row r="67" spans="1:12" x14ac:dyDescent="0.25">
      <c r="A67" s="162" t="s">
        <v>108</v>
      </c>
      <c r="B67" s="163" t="s">
        <v>108</v>
      </c>
      <c r="C67" s="164">
        <v>2565</v>
      </c>
      <c r="D67" s="164">
        <v>11342</v>
      </c>
      <c r="E67" s="164">
        <v>23432</v>
      </c>
      <c r="F67" s="164">
        <v>19544</v>
      </c>
      <c r="G67" s="164">
        <v>21299</v>
      </c>
      <c r="H67" s="164">
        <v>10557</v>
      </c>
      <c r="I67" s="164">
        <v>14210</v>
      </c>
      <c r="J67" s="179">
        <f>IFERROR(I67/H67-1,"-")</f>
        <v>0.34602633323860954</v>
      </c>
      <c r="K67" s="163">
        <f t="shared" si="21"/>
        <v>3653</v>
      </c>
      <c r="L67" s="165">
        <f t="shared" si="20"/>
        <v>3.8443173225587842E-3</v>
      </c>
    </row>
    <row r="68" spans="1:12" x14ac:dyDescent="0.25">
      <c r="A68" s="162" t="s">
        <v>105</v>
      </c>
      <c r="B68" s="163" t="s">
        <v>105</v>
      </c>
      <c r="C68" s="164">
        <v>4024</v>
      </c>
      <c r="D68" s="164">
        <v>537</v>
      </c>
      <c r="E68" s="164">
        <v>5821</v>
      </c>
      <c r="F68" s="164">
        <v>7108</v>
      </c>
      <c r="G68" s="164">
        <v>15641</v>
      </c>
      <c r="H68" s="164">
        <v>18051</v>
      </c>
      <c r="I68" s="164">
        <v>15722</v>
      </c>
      <c r="J68" s="179">
        <f>IFERROR(I68/H68-1,"-")</f>
        <v>-0.12902332280760065</v>
      </c>
      <c r="K68" s="163">
        <f t="shared" si="21"/>
        <v>-2329</v>
      </c>
      <c r="L68" s="165">
        <f t="shared" si="20"/>
        <v>4.2533678356980438E-3</v>
      </c>
    </row>
    <row r="69" spans="1:12" x14ac:dyDescent="0.25">
      <c r="A69" s="1"/>
      <c r="B69" s="159" t="s">
        <v>112</v>
      </c>
      <c r="C69" s="160">
        <v>22949</v>
      </c>
      <c r="D69" s="160">
        <v>11782</v>
      </c>
      <c r="E69" s="160">
        <v>77513</v>
      </c>
      <c r="F69" s="160">
        <v>93272</v>
      </c>
      <c r="G69" s="160">
        <v>118167</v>
      </c>
      <c r="H69" s="160">
        <v>100422</v>
      </c>
      <c r="I69" s="160">
        <v>99199</v>
      </c>
      <c r="J69" s="178">
        <f>IFERROR(I69/H69-1,"-")</f>
        <v>-1.2178606281492144E-2</v>
      </c>
      <c r="K69" s="159">
        <f t="shared" si="21"/>
        <v>-1223</v>
      </c>
      <c r="L69" s="161">
        <f t="shared" si="20"/>
        <v>2.6836905987368671E-2</v>
      </c>
    </row>
    <row r="70" spans="1:12" s="57" customFormat="1" x14ac:dyDescent="0.25">
      <c r="B70" s="163" t="s">
        <v>115</v>
      </c>
      <c r="C70" s="164">
        <v>9198</v>
      </c>
      <c r="D70" s="164">
        <v>1409</v>
      </c>
      <c r="E70" s="164">
        <v>33813</v>
      </c>
      <c r="F70" s="164">
        <v>33617</v>
      </c>
      <c r="G70" s="164">
        <v>48623</v>
      </c>
      <c r="H70" s="164">
        <v>50789</v>
      </c>
      <c r="I70" s="164">
        <v>52688</v>
      </c>
      <c r="J70" s="179">
        <f t="shared" ref="J70:J77" si="22">IFERROR(I70/H70-1,"-")</f>
        <v>3.7389986020595067E-2</v>
      </c>
      <c r="K70" s="163">
        <f t="shared" si="21"/>
        <v>1899</v>
      </c>
      <c r="L70" s="165">
        <f t="shared" si="20"/>
        <v>1.4254003595424154E-2</v>
      </c>
    </row>
    <row r="71" spans="1:12" s="57" customFormat="1" x14ac:dyDescent="0.25">
      <c r="B71" s="163" t="s">
        <v>118</v>
      </c>
      <c r="C71" s="164">
        <v>2626</v>
      </c>
      <c r="D71" s="164">
        <v>2113</v>
      </c>
      <c r="E71" s="164">
        <v>6702</v>
      </c>
      <c r="F71" s="164">
        <v>7877</v>
      </c>
      <c r="G71" s="164">
        <v>7510</v>
      </c>
      <c r="H71" s="164">
        <v>7274</v>
      </c>
      <c r="I71" s="164">
        <v>6563</v>
      </c>
      <c r="J71" s="179">
        <f t="shared" si="22"/>
        <v>-9.7745394555952658E-2</v>
      </c>
      <c r="K71" s="163">
        <f t="shared" si="21"/>
        <v>-711</v>
      </c>
      <c r="L71" s="165">
        <f t="shared" si="20"/>
        <v>1.7755281201937579E-3</v>
      </c>
    </row>
    <row r="72" spans="1:12" x14ac:dyDescent="0.25">
      <c r="A72" s="1"/>
      <c r="B72" s="163" t="s">
        <v>121</v>
      </c>
      <c r="C72" s="164">
        <v>2915</v>
      </c>
      <c r="D72" s="164">
        <v>1634</v>
      </c>
      <c r="E72" s="164">
        <v>9988</v>
      </c>
      <c r="F72" s="164">
        <v>10917</v>
      </c>
      <c r="G72" s="164">
        <v>13532</v>
      </c>
      <c r="H72" s="164">
        <v>6760</v>
      </c>
      <c r="I72" s="164">
        <v>6200</v>
      </c>
      <c r="J72" s="179">
        <f t="shared" si="22"/>
        <v>-8.2840236686390512E-2</v>
      </c>
      <c r="K72" s="163">
        <f t="shared" si="21"/>
        <v>-560</v>
      </c>
      <c r="L72" s="165">
        <f t="shared" si="20"/>
        <v>1.6773235327138959E-3</v>
      </c>
    </row>
    <row r="73" spans="1:12" x14ac:dyDescent="0.25">
      <c r="A73" s="1"/>
      <c r="B73" s="163" t="s">
        <v>128</v>
      </c>
      <c r="C73" s="164">
        <v>233</v>
      </c>
      <c r="D73" s="164">
        <v>502</v>
      </c>
      <c r="E73" s="164">
        <v>2462</v>
      </c>
      <c r="F73" s="164">
        <v>2787</v>
      </c>
      <c r="G73" s="164">
        <v>4373</v>
      </c>
      <c r="H73" s="164">
        <v>3692</v>
      </c>
      <c r="I73" s="164">
        <v>3729</v>
      </c>
      <c r="J73" s="179">
        <f t="shared" si="22"/>
        <v>1.0021668472372625E-2</v>
      </c>
      <c r="K73" s="163">
        <f t="shared" si="21"/>
        <v>37</v>
      </c>
      <c r="L73" s="165">
        <f t="shared" si="20"/>
        <v>1.0088289441113093E-3</v>
      </c>
    </row>
    <row r="74" spans="1:12" x14ac:dyDescent="0.25">
      <c r="A74" s="1"/>
      <c r="B74" s="163" t="s">
        <v>124</v>
      </c>
      <c r="C74" s="164">
        <v>590</v>
      </c>
      <c r="D74" s="164">
        <v>933</v>
      </c>
      <c r="E74" s="164">
        <v>2363</v>
      </c>
      <c r="F74" s="164">
        <v>1870</v>
      </c>
      <c r="G74" s="164">
        <v>2820</v>
      </c>
      <c r="H74" s="164">
        <v>2135</v>
      </c>
      <c r="I74" s="164">
        <v>1805</v>
      </c>
      <c r="J74" s="179">
        <f t="shared" si="22"/>
        <v>-0.15456674473067911</v>
      </c>
      <c r="K74" s="163">
        <f t="shared" si="21"/>
        <v>-330</v>
      </c>
      <c r="L74" s="165">
        <f t="shared" si="20"/>
        <v>4.8831757686267454E-4</v>
      </c>
    </row>
    <row r="75" spans="1:12" x14ac:dyDescent="0.25">
      <c r="A75" s="1"/>
      <c r="B75" s="163" t="s">
        <v>133</v>
      </c>
      <c r="C75" s="164">
        <v>833</v>
      </c>
      <c r="D75" s="164">
        <v>2</v>
      </c>
      <c r="E75" s="164">
        <v>1447</v>
      </c>
      <c r="F75" s="164">
        <v>3920</v>
      </c>
      <c r="G75" s="164">
        <v>2835</v>
      </c>
      <c r="H75" s="164">
        <v>1799</v>
      </c>
      <c r="I75" s="164">
        <v>1330</v>
      </c>
      <c r="J75" s="179">
        <f t="shared" si="22"/>
        <v>-0.26070038910505833</v>
      </c>
      <c r="K75" s="163">
        <f t="shared" si="21"/>
        <v>-469</v>
      </c>
      <c r="L75" s="165">
        <f t="shared" si="20"/>
        <v>3.5981295137249705E-4</v>
      </c>
    </row>
    <row r="76" spans="1:12" x14ac:dyDescent="0.25">
      <c r="A76" s="162" t="s">
        <v>149</v>
      </c>
      <c r="B76" s="163" t="s">
        <v>136</v>
      </c>
      <c r="C76" s="164">
        <v>961</v>
      </c>
      <c r="D76" s="164">
        <v>0</v>
      </c>
      <c r="E76" s="164">
        <v>479</v>
      </c>
      <c r="F76" s="164">
        <v>1069</v>
      </c>
      <c r="G76" s="164">
        <v>2071</v>
      </c>
      <c r="H76" s="164">
        <v>2307</v>
      </c>
      <c r="I76" s="164">
        <v>2234</v>
      </c>
      <c r="J76" s="179">
        <f t="shared" si="22"/>
        <v>-3.1642826181187744E-2</v>
      </c>
      <c r="K76" s="163">
        <f t="shared" si="21"/>
        <v>-73</v>
      </c>
      <c r="L76" s="165">
        <f t="shared" si="20"/>
        <v>6.0437754388432963E-4</v>
      </c>
    </row>
    <row r="77" spans="1:12" x14ac:dyDescent="0.25">
      <c r="A77" s="167" t="s">
        <v>150</v>
      </c>
      <c r="B77" s="168" t="s">
        <v>150</v>
      </c>
      <c r="C77" s="169">
        <f t="shared" ref="C77:I77" si="23">C69-SUM(C70:C76)</f>
        <v>5593</v>
      </c>
      <c r="D77" s="169">
        <f t="shared" si="23"/>
        <v>5189</v>
      </c>
      <c r="E77" s="169">
        <f t="shared" si="23"/>
        <v>20259</v>
      </c>
      <c r="F77" s="169">
        <f t="shared" si="23"/>
        <v>31215</v>
      </c>
      <c r="G77" s="169">
        <f t="shared" si="23"/>
        <v>36403</v>
      </c>
      <c r="H77" s="169">
        <f t="shared" si="23"/>
        <v>25666</v>
      </c>
      <c r="I77" s="169">
        <f t="shared" si="23"/>
        <v>24650</v>
      </c>
      <c r="J77" s="180">
        <f t="shared" si="22"/>
        <v>-3.958544377776041E-2</v>
      </c>
      <c r="K77" s="168">
        <f>I77-H77</f>
        <v>-1016</v>
      </c>
      <c r="L77" s="170">
        <f t="shared" si="20"/>
        <v>6.6687137228060543E-3</v>
      </c>
    </row>
    <row r="78" spans="1:12" x14ac:dyDescent="0.25">
      <c r="A78" s="1"/>
      <c r="B78" s="155" t="s">
        <v>50</v>
      </c>
      <c r="C78" s="153"/>
      <c r="D78" s="153"/>
      <c r="E78" s="153"/>
      <c r="F78" s="153"/>
      <c r="G78" s="153"/>
      <c r="H78" s="153"/>
      <c r="I78" s="153"/>
      <c r="J78" s="154"/>
      <c r="K78" s="154"/>
      <c r="L78" s="153"/>
    </row>
    <row r="79" spans="1:12" x14ac:dyDescent="0.25">
      <c r="A79" s="1"/>
      <c r="B79" s="156" t="s">
        <v>73</v>
      </c>
      <c r="C79" s="176">
        <v>183101</v>
      </c>
      <c r="D79" s="176">
        <v>121455</v>
      </c>
      <c r="E79" s="176">
        <v>456752</v>
      </c>
      <c r="F79" s="176">
        <v>533076</v>
      </c>
      <c r="G79" s="176">
        <v>613010</v>
      </c>
      <c r="H79" s="176">
        <v>622671</v>
      </c>
      <c r="I79" s="176">
        <v>602049</v>
      </c>
      <c r="J79" s="177">
        <f>IFERROR(I79/H79-1,"-")</f>
        <v>-3.3118613200229352E-2</v>
      </c>
      <c r="K79" s="176">
        <f>I79-H79</f>
        <v>-20622</v>
      </c>
      <c r="L79" s="177">
        <f t="shared" ref="L79:L91" si="24">I79/I$9</f>
        <v>0.16287596057207554</v>
      </c>
    </row>
    <row r="80" spans="1:12" x14ac:dyDescent="0.25">
      <c r="A80" s="1" t="s">
        <v>101</v>
      </c>
      <c r="B80" s="159" t="s">
        <v>102</v>
      </c>
      <c r="C80" s="160">
        <v>56011</v>
      </c>
      <c r="D80" s="160">
        <v>70671</v>
      </c>
      <c r="E80" s="160">
        <v>219164</v>
      </c>
      <c r="F80" s="160">
        <v>232404</v>
      </c>
      <c r="G80" s="160">
        <v>244830</v>
      </c>
      <c r="H80" s="160">
        <v>252902</v>
      </c>
      <c r="I80" s="160">
        <v>261496</v>
      </c>
      <c r="J80" s="178">
        <f>IFERROR(I80/H80-1,"-")</f>
        <v>3.3981542257475184E-2</v>
      </c>
      <c r="K80" s="159">
        <f t="shared" ref="K80:K90" si="25">I80-H80</f>
        <v>8594</v>
      </c>
      <c r="L80" s="161">
        <f t="shared" si="24"/>
        <v>7.0744095888798861E-2</v>
      </c>
    </row>
    <row r="81" spans="1:12" x14ac:dyDescent="0.25">
      <c r="A81" s="162" t="s">
        <v>108</v>
      </c>
      <c r="B81" s="163" t="s">
        <v>108</v>
      </c>
      <c r="C81" s="164">
        <v>9469</v>
      </c>
      <c r="D81" s="164">
        <v>28815</v>
      </c>
      <c r="E81" s="164">
        <v>59972</v>
      </c>
      <c r="F81" s="164">
        <v>60540</v>
      </c>
      <c r="G81" s="164">
        <v>68773</v>
      </c>
      <c r="H81" s="164">
        <v>57128</v>
      </c>
      <c r="I81" s="164">
        <v>77297</v>
      </c>
      <c r="J81" s="179">
        <f>IFERROR(I81/H81-1,"-")</f>
        <v>0.35304929281613218</v>
      </c>
      <c r="K81" s="163">
        <f t="shared" si="25"/>
        <v>20169</v>
      </c>
      <c r="L81" s="165">
        <f t="shared" si="24"/>
        <v>2.0911625340030004E-2</v>
      </c>
    </row>
    <row r="82" spans="1:12" x14ac:dyDescent="0.25">
      <c r="A82" s="162" t="s">
        <v>105</v>
      </c>
      <c r="B82" s="163" t="s">
        <v>105</v>
      </c>
      <c r="C82" s="164">
        <v>46542</v>
      </c>
      <c r="D82" s="164">
        <v>41856</v>
      </c>
      <c r="E82" s="164">
        <v>159192</v>
      </c>
      <c r="F82" s="164">
        <v>171864</v>
      </c>
      <c r="G82" s="164">
        <v>176057</v>
      </c>
      <c r="H82" s="164">
        <v>195774</v>
      </c>
      <c r="I82" s="164">
        <v>184199</v>
      </c>
      <c r="J82" s="179">
        <f>IFERROR(I82/H82-1,"-")</f>
        <v>-5.9124296382563557E-2</v>
      </c>
      <c r="K82" s="163">
        <f t="shared" si="25"/>
        <v>-11575</v>
      </c>
      <c r="L82" s="165">
        <f t="shared" si="24"/>
        <v>4.983247054876886E-2</v>
      </c>
    </row>
    <row r="83" spans="1:12" x14ac:dyDescent="0.25">
      <c r="A83" s="1"/>
      <c r="B83" s="159" t="s">
        <v>112</v>
      </c>
      <c r="C83" s="160">
        <v>127090</v>
      </c>
      <c r="D83" s="160">
        <v>50784</v>
      </c>
      <c r="E83" s="160">
        <v>237588</v>
      </c>
      <c r="F83" s="160">
        <v>300672</v>
      </c>
      <c r="G83" s="160">
        <v>368180</v>
      </c>
      <c r="H83" s="160">
        <v>369769</v>
      </c>
      <c r="I83" s="160">
        <v>340553</v>
      </c>
      <c r="J83" s="178">
        <f>IFERROR(I83/H83-1,"-")</f>
        <v>-7.9011490957868302E-2</v>
      </c>
      <c r="K83" s="159">
        <f t="shared" si="25"/>
        <v>-29216</v>
      </c>
      <c r="L83" s="161">
        <f t="shared" si="24"/>
        <v>9.2131864683276679E-2</v>
      </c>
    </row>
    <row r="84" spans="1:12" s="57" customFormat="1" x14ac:dyDescent="0.25">
      <c r="B84" s="163" t="s">
        <v>115</v>
      </c>
      <c r="C84" s="164">
        <v>21229</v>
      </c>
      <c r="D84" s="164">
        <v>3468</v>
      </c>
      <c r="E84" s="164">
        <v>44105</v>
      </c>
      <c r="F84" s="164">
        <v>58779</v>
      </c>
      <c r="G84" s="164">
        <v>73356</v>
      </c>
      <c r="H84" s="164">
        <v>75097</v>
      </c>
      <c r="I84" s="164">
        <v>72080</v>
      </c>
      <c r="J84" s="179">
        <f t="shared" ref="J84:J91" si="26">IFERROR(I84/H84-1,"-")</f>
        <v>-4.0174707378457186E-2</v>
      </c>
      <c r="K84" s="163">
        <f t="shared" si="25"/>
        <v>-3017</v>
      </c>
      <c r="L84" s="165">
        <f t="shared" si="24"/>
        <v>1.9500238748067358E-2</v>
      </c>
    </row>
    <row r="85" spans="1:12" s="57" customFormat="1" x14ac:dyDescent="0.25">
      <c r="B85" s="163" t="s">
        <v>118</v>
      </c>
      <c r="C85" s="164">
        <v>46896</v>
      </c>
      <c r="D85" s="164">
        <v>12048</v>
      </c>
      <c r="E85" s="164">
        <v>76797</v>
      </c>
      <c r="F85" s="164">
        <v>91679</v>
      </c>
      <c r="G85" s="164">
        <v>106223</v>
      </c>
      <c r="H85" s="164">
        <v>102453</v>
      </c>
      <c r="I85" s="164">
        <v>90485</v>
      </c>
      <c r="J85" s="179">
        <f t="shared" si="26"/>
        <v>-0.11681453934975061</v>
      </c>
      <c r="K85" s="163">
        <f t="shared" si="25"/>
        <v>-11968</v>
      </c>
      <c r="L85" s="165">
        <f t="shared" si="24"/>
        <v>2.4479454815744657E-2</v>
      </c>
    </row>
    <row r="86" spans="1:12" x14ac:dyDescent="0.25">
      <c r="A86" s="1"/>
      <c r="B86" s="163" t="s">
        <v>121</v>
      </c>
      <c r="C86" s="164">
        <v>6810</v>
      </c>
      <c r="D86" s="164">
        <v>8680</v>
      </c>
      <c r="E86" s="164">
        <v>20265</v>
      </c>
      <c r="F86" s="164">
        <v>26122</v>
      </c>
      <c r="G86" s="164">
        <v>40257</v>
      </c>
      <c r="H86" s="164">
        <v>40259</v>
      </c>
      <c r="I86" s="164">
        <v>38454</v>
      </c>
      <c r="J86" s="179">
        <f t="shared" si="26"/>
        <v>-4.4834695347624187E-2</v>
      </c>
      <c r="K86" s="163">
        <f t="shared" si="25"/>
        <v>-1805</v>
      </c>
      <c r="L86" s="165">
        <f t="shared" si="24"/>
        <v>1.0403193407577444E-2</v>
      </c>
    </row>
    <row r="87" spans="1:12" x14ac:dyDescent="0.25">
      <c r="A87" s="1"/>
      <c r="B87" s="163" t="s">
        <v>128</v>
      </c>
      <c r="C87" s="164">
        <v>1878</v>
      </c>
      <c r="D87" s="164">
        <v>1202</v>
      </c>
      <c r="E87" s="164">
        <v>6888</v>
      </c>
      <c r="F87" s="164">
        <v>7081</v>
      </c>
      <c r="G87" s="164">
        <v>11429</v>
      </c>
      <c r="H87" s="164">
        <v>10500</v>
      </c>
      <c r="I87" s="164">
        <v>9455</v>
      </c>
      <c r="J87" s="179">
        <f t="shared" si="26"/>
        <v>-9.952380952380957E-2</v>
      </c>
      <c r="K87" s="163">
        <f t="shared" si="25"/>
        <v>-1045</v>
      </c>
      <c r="L87" s="165">
        <f t="shared" si="24"/>
        <v>2.5579183873886912E-3</v>
      </c>
    </row>
    <row r="88" spans="1:12" x14ac:dyDescent="0.25">
      <c r="A88" s="1"/>
      <c r="B88" s="163" t="s">
        <v>124</v>
      </c>
      <c r="C88" s="164">
        <v>1330</v>
      </c>
      <c r="D88" s="164">
        <v>1237</v>
      </c>
      <c r="E88" s="164">
        <v>3919</v>
      </c>
      <c r="F88" s="164">
        <v>4179</v>
      </c>
      <c r="G88" s="164">
        <v>5764</v>
      </c>
      <c r="H88" s="164">
        <v>5801</v>
      </c>
      <c r="I88" s="164">
        <v>6620</v>
      </c>
      <c r="J88" s="179">
        <f t="shared" si="26"/>
        <v>0.14118255473194274</v>
      </c>
      <c r="K88" s="163">
        <f t="shared" si="25"/>
        <v>819</v>
      </c>
      <c r="L88" s="165">
        <f t="shared" si="24"/>
        <v>1.7909486752525792E-3</v>
      </c>
    </row>
    <row r="89" spans="1:12" x14ac:dyDescent="0.25">
      <c r="A89" s="1"/>
      <c r="B89" s="163" t="s">
        <v>133</v>
      </c>
      <c r="C89" s="164">
        <v>4100</v>
      </c>
      <c r="D89" s="164">
        <v>281</v>
      </c>
      <c r="E89" s="164">
        <v>4599</v>
      </c>
      <c r="F89" s="164">
        <v>6862</v>
      </c>
      <c r="G89" s="164">
        <v>6096</v>
      </c>
      <c r="H89" s="164">
        <v>6274</v>
      </c>
      <c r="I89" s="164">
        <v>5134</v>
      </c>
      <c r="J89" s="179">
        <f t="shared" si="26"/>
        <v>-0.18170226330889383</v>
      </c>
      <c r="K89" s="163">
        <f t="shared" si="25"/>
        <v>-1140</v>
      </c>
      <c r="L89" s="165">
        <f t="shared" si="24"/>
        <v>1.3889320995085714E-3</v>
      </c>
    </row>
    <row r="90" spans="1:12" x14ac:dyDescent="0.25">
      <c r="A90" s="162" t="s">
        <v>149</v>
      </c>
      <c r="B90" s="163" t="s">
        <v>136</v>
      </c>
      <c r="C90" s="164">
        <v>6540</v>
      </c>
      <c r="D90" s="164">
        <v>565</v>
      </c>
      <c r="E90" s="164">
        <v>4180</v>
      </c>
      <c r="F90" s="164">
        <v>7210</v>
      </c>
      <c r="G90" s="164">
        <v>7872</v>
      </c>
      <c r="H90" s="164">
        <v>5360</v>
      </c>
      <c r="I90" s="164">
        <v>6055</v>
      </c>
      <c r="J90" s="179">
        <f t="shared" si="26"/>
        <v>0.12966417910447769</v>
      </c>
      <c r="K90" s="163">
        <f t="shared" si="25"/>
        <v>695</v>
      </c>
      <c r="L90" s="165">
        <f t="shared" si="24"/>
        <v>1.6380958049326839E-3</v>
      </c>
    </row>
    <row r="91" spans="1:12" x14ac:dyDescent="0.25">
      <c r="A91" s="167" t="s">
        <v>150</v>
      </c>
      <c r="B91" s="168" t="s">
        <v>150</v>
      </c>
      <c r="C91" s="169">
        <f t="shared" ref="C91:I91" si="27">C83-SUM(C84:C90)</f>
        <v>38307</v>
      </c>
      <c r="D91" s="169">
        <f t="shared" si="27"/>
        <v>23303</v>
      </c>
      <c r="E91" s="169">
        <f t="shared" si="27"/>
        <v>76835</v>
      </c>
      <c r="F91" s="169">
        <f t="shared" si="27"/>
        <v>98760</v>
      </c>
      <c r="G91" s="169">
        <f t="shared" si="27"/>
        <v>117183</v>
      </c>
      <c r="H91" s="169">
        <f t="shared" si="27"/>
        <v>124025</v>
      </c>
      <c r="I91" s="169">
        <f t="shared" si="27"/>
        <v>112270</v>
      </c>
      <c r="J91" s="180">
        <f t="shared" si="26"/>
        <v>-9.4779278371296072E-2</v>
      </c>
      <c r="K91" s="168">
        <f>I91-H91</f>
        <v>-11755</v>
      </c>
      <c r="L91" s="170">
        <f t="shared" si="24"/>
        <v>3.0373082744804693E-2</v>
      </c>
    </row>
    <row r="92" spans="1:12" x14ac:dyDescent="0.25">
      <c r="A92" s="1"/>
      <c r="B92" s="155" t="s">
        <v>51</v>
      </c>
      <c r="C92" s="153"/>
      <c r="D92" s="153"/>
      <c r="E92" s="153"/>
      <c r="F92" s="153"/>
      <c r="G92" s="153"/>
      <c r="H92" s="153"/>
      <c r="I92" s="153"/>
      <c r="J92" s="154"/>
      <c r="K92" s="154"/>
      <c r="L92" s="153"/>
    </row>
    <row r="93" spans="1:12" x14ac:dyDescent="0.25">
      <c r="A93" s="1"/>
      <c r="B93" s="156" t="s">
        <v>73</v>
      </c>
      <c r="C93" s="176">
        <v>13511</v>
      </c>
      <c r="D93" s="176">
        <v>14777</v>
      </c>
      <c r="E93" s="176">
        <v>30304</v>
      </c>
      <c r="F93" s="176">
        <v>36788</v>
      </c>
      <c r="G93" s="176">
        <v>35530</v>
      </c>
      <c r="H93" s="176">
        <v>33664</v>
      </c>
      <c r="I93" s="176">
        <v>32724</v>
      </c>
      <c r="J93" s="177">
        <f>IFERROR(I93/H93-1,"-")</f>
        <v>-2.792300380228141E-2</v>
      </c>
      <c r="K93" s="176">
        <f>I93-H93</f>
        <v>-940</v>
      </c>
      <c r="L93" s="177">
        <f t="shared" ref="L93:L105" si="28">I93/I$9</f>
        <v>8.8530218200854084E-3</v>
      </c>
    </row>
    <row r="94" spans="1:12" x14ac:dyDescent="0.25">
      <c r="A94" s="1" t="s">
        <v>101</v>
      </c>
      <c r="B94" s="159" t="s">
        <v>102</v>
      </c>
      <c r="C94" s="160">
        <v>7669</v>
      </c>
      <c r="D94" s="160">
        <v>9230</v>
      </c>
      <c r="E94" s="160">
        <v>19005</v>
      </c>
      <c r="F94" s="160">
        <v>23768</v>
      </c>
      <c r="G94" s="160">
        <v>20858</v>
      </c>
      <c r="H94" s="160">
        <v>19727</v>
      </c>
      <c r="I94" s="160">
        <v>19981</v>
      </c>
      <c r="J94" s="178">
        <f>IFERROR(I94/H94-1,"-")</f>
        <v>1.2875754042682708E-2</v>
      </c>
      <c r="K94" s="159">
        <f t="shared" ref="K94:K104" si="29">I94-H94</f>
        <v>254</v>
      </c>
      <c r="L94" s="161">
        <f t="shared" si="28"/>
        <v>5.4055808882510249E-3</v>
      </c>
    </row>
    <row r="95" spans="1:12" x14ac:dyDescent="0.25">
      <c r="A95" s="162" t="s">
        <v>108</v>
      </c>
      <c r="B95" s="163" t="s">
        <v>108</v>
      </c>
      <c r="C95" s="164">
        <v>4352</v>
      </c>
      <c r="D95" s="164">
        <v>4982</v>
      </c>
      <c r="E95" s="164">
        <v>9097</v>
      </c>
      <c r="F95" s="164">
        <v>7291</v>
      </c>
      <c r="G95" s="164">
        <v>6367</v>
      </c>
      <c r="H95" s="164">
        <v>6435</v>
      </c>
      <c r="I95" s="164">
        <v>8232</v>
      </c>
      <c r="J95" s="179">
        <f>IFERROR(I95/H95-1,"-")</f>
        <v>0.27925407925407919</v>
      </c>
      <c r="K95" s="163">
        <f t="shared" si="29"/>
        <v>1797</v>
      </c>
      <c r="L95" s="165">
        <f t="shared" si="28"/>
        <v>2.2270527937581922E-3</v>
      </c>
    </row>
    <row r="96" spans="1:12" x14ac:dyDescent="0.25">
      <c r="A96" s="162" t="s">
        <v>105</v>
      </c>
      <c r="B96" s="163" t="s">
        <v>105</v>
      </c>
      <c r="C96" s="164">
        <v>3317</v>
      </c>
      <c r="D96" s="164">
        <v>4248</v>
      </c>
      <c r="E96" s="164">
        <v>9908</v>
      </c>
      <c r="F96" s="164">
        <v>16477</v>
      </c>
      <c r="G96" s="164">
        <v>14491</v>
      </c>
      <c r="H96" s="164">
        <v>13292</v>
      </c>
      <c r="I96" s="164">
        <v>11749</v>
      </c>
      <c r="J96" s="179">
        <f>IFERROR(I96/H96-1,"-")</f>
        <v>-0.11608486307553412</v>
      </c>
      <c r="K96" s="163">
        <f t="shared" si="29"/>
        <v>-1543</v>
      </c>
      <c r="L96" s="165">
        <f t="shared" si="28"/>
        <v>3.1785280944928327E-3</v>
      </c>
    </row>
    <row r="97" spans="1:12" x14ac:dyDescent="0.25">
      <c r="A97" s="1"/>
      <c r="B97" s="159" t="s">
        <v>112</v>
      </c>
      <c r="C97" s="160">
        <v>5842</v>
      </c>
      <c r="D97" s="160">
        <v>5547</v>
      </c>
      <c r="E97" s="160">
        <v>11299</v>
      </c>
      <c r="F97" s="160">
        <v>13020</v>
      </c>
      <c r="G97" s="160">
        <v>14672</v>
      </c>
      <c r="H97" s="160">
        <v>13937</v>
      </c>
      <c r="I97" s="160">
        <v>12743</v>
      </c>
      <c r="J97" s="178">
        <f>IFERROR(I97/H97-1,"-")</f>
        <v>-8.5671234842505606E-2</v>
      </c>
      <c r="K97" s="159">
        <f t="shared" si="29"/>
        <v>-1194</v>
      </c>
      <c r="L97" s="161">
        <f t="shared" si="28"/>
        <v>3.4474409318343831E-3</v>
      </c>
    </row>
    <row r="98" spans="1:12" s="57" customFormat="1" x14ac:dyDescent="0.25">
      <c r="B98" s="163" t="s">
        <v>115</v>
      </c>
      <c r="C98" s="164">
        <v>1092</v>
      </c>
      <c r="D98" s="164">
        <v>209</v>
      </c>
      <c r="E98" s="164">
        <v>1568</v>
      </c>
      <c r="F98" s="164">
        <v>1933</v>
      </c>
      <c r="G98" s="164">
        <v>2200</v>
      </c>
      <c r="H98" s="164">
        <v>1831</v>
      </c>
      <c r="I98" s="164">
        <v>1807</v>
      </c>
      <c r="J98" s="179">
        <f t="shared" ref="J98:J105" si="30">IFERROR(I98/H98-1,"-")</f>
        <v>-1.3107591480065572E-2</v>
      </c>
      <c r="K98" s="163">
        <f t="shared" si="29"/>
        <v>-24</v>
      </c>
      <c r="L98" s="165">
        <f t="shared" si="28"/>
        <v>4.8885864897000165E-4</v>
      </c>
    </row>
    <row r="99" spans="1:12" s="57" customFormat="1" x14ac:dyDescent="0.25">
      <c r="B99" s="163" t="s">
        <v>118</v>
      </c>
      <c r="C99" s="164">
        <v>1303</v>
      </c>
      <c r="D99" s="164">
        <v>919</v>
      </c>
      <c r="E99" s="164">
        <v>2369</v>
      </c>
      <c r="F99" s="164">
        <v>2543</v>
      </c>
      <c r="G99" s="164">
        <v>3020</v>
      </c>
      <c r="H99" s="164">
        <v>2731</v>
      </c>
      <c r="I99" s="164">
        <v>2449</v>
      </c>
      <c r="J99" s="179">
        <f t="shared" si="30"/>
        <v>-0.10325887953130719</v>
      </c>
      <c r="K99" s="163">
        <f t="shared" si="29"/>
        <v>-282</v>
      </c>
      <c r="L99" s="165">
        <f t="shared" si="28"/>
        <v>6.6254279542198892E-4</v>
      </c>
    </row>
    <row r="100" spans="1:12" x14ac:dyDescent="0.25">
      <c r="A100" s="1"/>
      <c r="B100" s="163" t="s">
        <v>121</v>
      </c>
      <c r="C100" s="164">
        <v>1217</v>
      </c>
      <c r="D100" s="164">
        <v>2151</v>
      </c>
      <c r="E100" s="164">
        <v>2089</v>
      </c>
      <c r="F100" s="164">
        <v>2359</v>
      </c>
      <c r="G100" s="164">
        <v>2376</v>
      </c>
      <c r="H100" s="164">
        <v>2269</v>
      </c>
      <c r="I100" s="164">
        <v>2242</v>
      </c>
      <c r="J100" s="179">
        <f t="shared" si="30"/>
        <v>-1.189951520493604E-2</v>
      </c>
      <c r="K100" s="163">
        <f t="shared" si="29"/>
        <v>-27</v>
      </c>
      <c r="L100" s="165">
        <f t="shared" si="28"/>
        <v>6.0654183231363787E-4</v>
      </c>
    </row>
    <row r="101" spans="1:12" x14ac:dyDescent="0.25">
      <c r="A101" s="1"/>
      <c r="B101" s="163" t="s">
        <v>128</v>
      </c>
      <c r="C101" s="164">
        <v>278</v>
      </c>
      <c r="D101" s="164">
        <v>108</v>
      </c>
      <c r="E101" s="164">
        <v>786</v>
      </c>
      <c r="F101" s="164">
        <v>629</v>
      </c>
      <c r="G101" s="164">
        <v>696</v>
      </c>
      <c r="H101" s="164">
        <v>652</v>
      </c>
      <c r="I101" s="164">
        <v>628</v>
      </c>
      <c r="J101" s="179">
        <f t="shared" si="30"/>
        <v>-3.6809815950920255E-2</v>
      </c>
      <c r="K101" s="163">
        <f t="shared" si="29"/>
        <v>-24</v>
      </c>
      <c r="L101" s="165">
        <f t="shared" si="28"/>
        <v>1.6989664170069784E-4</v>
      </c>
    </row>
    <row r="102" spans="1:12" x14ac:dyDescent="0.25">
      <c r="A102" s="1"/>
      <c r="B102" s="163" t="s">
        <v>124</v>
      </c>
      <c r="C102" s="164">
        <v>141</v>
      </c>
      <c r="D102" s="164">
        <v>207</v>
      </c>
      <c r="E102" s="164">
        <v>465</v>
      </c>
      <c r="F102" s="164">
        <v>355</v>
      </c>
      <c r="G102" s="164">
        <v>580</v>
      </c>
      <c r="H102" s="164">
        <v>568</v>
      </c>
      <c r="I102" s="164">
        <v>537</v>
      </c>
      <c r="J102" s="179">
        <f t="shared" si="30"/>
        <v>-5.4577464788732377E-2</v>
      </c>
      <c r="K102" s="163">
        <f t="shared" si="29"/>
        <v>-31</v>
      </c>
      <c r="L102" s="165">
        <f t="shared" si="28"/>
        <v>1.4527786081731646E-4</v>
      </c>
    </row>
    <row r="103" spans="1:12" x14ac:dyDescent="0.25">
      <c r="A103" s="1"/>
      <c r="B103" s="163" t="s">
        <v>133</v>
      </c>
      <c r="C103" s="164">
        <v>125</v>
      </c>
      <c r="D103" s="164">
        <v>19</v>
      </c>
      <c r="E103" s="164">
        <v>190</v>
      </c>
      <c r="F103" s="164">
        <v>99</v>
      </c>
      <c r="G103" s="164">
        <v>175</v>
      </c>
      <c r="H103" s="164">
        <v>155</v>
      </c>
      <c r="I103" s="164">
        <v>133</v>
      </c>
      <c r="J103" s="179">
        <f t="shared" si="30"/>
        <v>-0.14193548387096777</v>
      </c>
      <c r="K103" s="163">
        <f t="shared" si="29"/>
        <v>-22</v>
      </c>
      <c r="L103" s="165">
        <f t="shared" si="28"/>
        <v>3.5981295137249702E-5</v>
      </c>
    </row>
    <row r="104" spans="1:12" x14ac:dyDescent="0.25">
      <c r="A104" s="162" t="s">
        <v>149</v>
      </c>
      <c r="B104" s="163" t="s">
        <v>136</v>
      </c>
      <c r="C104" s="164">
        <v>70</v>
      </c>
      <c r="D104" s="164">
        <v>46</v>
      </c>
      <c r="E104" s="164">
        <v>105</v>
      </c>
      <c r="F104" s="164">
        <v>175</v>
      </c>
      <c r="G104" s="164">
        <v>308</v>
      </c>
      <c r="H104" s="164">
        <v>158</v>
      </c>
      <c r="I104" s="164">
        <v>117</v>
      </c>
      <c r="J104" s="179">
        <f t="shared" si="30"/>
        <v>-0.259493670886076</v>
      </c>
      <c r="K104" s="163">
        <f t="shared" si="29"/>
        <v>-41</v>
      </c>
      <c r="L104" s="165">
        <f t="shared" si="28"/>
        <v>3.1652718278633201E-5</v>
      </c>
    </row>
    <row r="105" spans="1:12" x14ac:dyDescent="0.25">
      <c r="A105" s="167" t="s">
        <v>150</v>
      </c>
      <c r="B105" s="168" t="s">
        <v>150</v>
      </c>
      <c r="C105" s="169">
        <f t="shared" ref="C105:I105" si="31">C97-SUM(C98:C104)</f>
        <v>1616</v>
      </c>
      <c r="D105" s="169">
        <f t="shared" si="31"/>
        <v>1888</v>
      </c>
      <c r="E105" s="169">
        <f t="shared" si="31"/>
        <v>3727</v>
      </c>
      <c r="F105" s="169">
        <f t="shared" si="31"/>
        <v>4927</v>
      </c>
      <c r="G105" s="169">
        <f t="shared" si="31"/>
        <v>5317</v>
      </c>
      <c r="H105" s="169">
        <f t="shared" si="31"/>
        <v>5573</v>
      </c>
      <c r="I105" s="169">
        <f t="shared" si="31"/>
        <v>4830</v>
      </c>
      <c r="J105" s="180">
        <f t="shared" si="30"/>
        <v>-0.13332137089538842</v>
      </c>
      <c r="K105" s="168">
        <f>I105-H105</f>
        <v>-743</v>
      </c>
      <c r="L105" s="170">
        <f t="shared" si="28"/>
        <v>1.3066891391948577E-3</v>
      </c>
    </row>
    <row r="106" spans="1:12" x14ac:dyDescent="0.25">
      <c r="A106" s="1"/>
      <c r="B106" s="155" t="s">
        <v>52</v>
      </c>
      <c r="C106" s="153"/>
      <c r="D106" s="153"/>
      <c r="E106" s="153"/>
      <c r="F106" s="153"/>
      <c r="G106" s="153"/>
      <c r="H106" s="153"/>
      <c r="I106" s="153"/>
      <c r="J106" s="154"/>
      <c r="K106" s="154"/>
      <c r="L106" s="153"/>
    </row>
    <row r="107" spans="1:12" x14ac:dyDescent="0.25">
      <c r="A107" s="1"/>
      <c r="B107" s="156" t="s">
        <v>73</v>
      </c>
      <c r="C107" s="176">
        <v>44636</v>
      </c>
      <c r="D107" s="176">
        <v>49996</v>
      </c>
      <c r="E107" s="176">
        <v>127213</v>
      </c>
      <c r="F107" s="176">
        <v>167746</v>
      </c>
      <c r="G107" s="176">
        <v>161937</v>
      </c>
      <c r="H107" s="176">
        <v>172922</v>
      </c>
      <c r="I107" s="176">
        <v>153954</v>
      </c>
      <c r="J107" s="177">
        <f>IFERROR(I107/H107-1,"-")</f>
        <v>-0.10969107458854277</v>
      </c>
      <c r="K107" s="176">
        <f>I107-H107</f>
        <v>-18968</v>
      </c>
      <c r="L107" s="177">
        <f t="shared" ref="L107:L119" si="32">I107/I$9</f>
        <v>4.1650107605715345E-2</v>
      </c>
    </row>
    <row r="108" spans="1:12" x14ac:dyDescent="0.25">
      <c r="A108" s="1" t="s">
        <v>101</v>
      </c>
      <c r="B108" s="159" t="s">
        <v>102</v>
      </c>
      <c r="C108" s="160">
        <v>9051</v>
      </c>
      <c r="D108" s="160">
        <v>27860</v>
      </c>
      <c r="E108" s="160">
        <v>26768</v>
      </c>
      <c r="F108" s="160">
        <v>34340</v>
      </c>
      <c r="G108" s="160">
        <v>31428</v>
      </c>
      <c r="H108" s="160">
        <v>34636</v>
      </c>
      <c r="I108" s="160">
        <v>28496</v>
      </c>
      <c r="J108" s="178">
        <f>IFERROR(I108/H108-1,"-")</f>
        <v>-0.17727220233283292</v>
      </c>
      <c r="K108" s="159">
        <f t="shared" ref="K108:K118" si="33">I108-H108</f>
        <v>-6140</v>
      </c>
      <c r="L108" s="161">
        <f t="shared" si="32"/>
        <v>7.7091953851959969E-3</v>
      </c>
    </row>
    <row r="109" spans="1:12" x14ac:dyDescent="0.25">
      <c r="A109" s="162" t="s">
        <v>108</v>
      </c>
      <c r="B109" s="163" t="s">
        <v>108</v>
      </c>
      <c r="C109" s="164">
        <v>1581</v>
      </c>
      <c r="D109" s="164">
        <v>18087</v>
      </c>
      <c r="E109" s="164">
        <v>9647</v>
      </c>
      <c r="F109" s="164">
        <v>13617</v>
      </c>
      <c r="G109" s="164">
        <v>9441</v>
      </c>
      <c r="H109" s="164">
        <v>12174</v>
      </c>
      <c r="I109" s="164">
        <v>16145</v>
      </c>
      <c r="J109" s="179">
        <f>IFERROR(I109/H109-1,"-")</f>
        <v>0.3261869558074586</v>
      </c>
      <c r="K109" s="163">
        <f t="shared" si="33"/>
        <v>3971</v>
      </c>
      <c r="L109" s="165">
        <f t="shared" si="32"/>
        <v>4.367804586397718E-3</v>
      </c>
    </row>
    <row r="110" spans="1:12" x14ac:dyDescent="0.25">
      <c r="A110" s="162" t="s">
        <v>105</v>
      </c>
      <c r="B110" s="163" t="s">
        <v>105</v>
      </c>
      <c r="C110" s="164">
        <v>7470</v>
      </c>
      <c r="D110" s="164">
        <v>9773</v>
      </c>
      <c r="E110" s="164">
        <v>17121</v>
      </c>
      <c r="F110" s="164">
        <v>20723</v>
      </c>
      <c r="G110" s="164">
        <v>21987</v>
      </c>
      <c r="H110" s="164">
        <v>22462</v>
      </c>
      <c r="I110" s="164">
        <v>12351</v>
      </c>
      <c r="J110" s="179">
        <f>IFERROR(I110/H110-1,"-")</f>
        <v>-0.45013801086279048</v>
      </c>
      <c r="K110" s="163">
        <f t="shared" si="33"/>
        <v>-10111</v>
      </c>
      <c r="L110" s="165">
        <f t="shared" si="32"/>
        <v>3.3413907987982789E-3</v>
      </c>
    </row>
    <row r="111" spans="1:12" x14ac:dyDescent="0.25">
      <c r="A111" s="1"/>
      <c r="B111" s="159" t="s">
        <v>112</v>
      </c>
      <c r="C111" s="160">
        <v>35585</v>
      </c>
      <c r="D111" s="160">
        <v>22136</v>
      </c>
      <c r="E111" s="160">
        <v>100445</v>
      </c>
      <c r="F111" s="160">
        <v>133406</v>
      </c>
      <c r="G111" s="160">
        <v>130509</v>
      </c>
      <c r="H111" s="160">
        <v>138286</v>
      </c>
      <c r="I111" s="160">
        <v>125458</v>
      </c>
      <c r="J111" s="178">
        <f>IFERROR(I111/H111-1,"-")</f>
        <v>-9.2764271148200073E-2</v>
      </c>
      <c r="K111" s="159">
        <f t="shared" si="33"/>
        <v>-12828</v>
      </c>
      <c r="L111" s="161">
        <f t="shared" si="32"/>
        <v>3.3940912220519349E-2</v>
      </c>
    </row>
    <row r="112" spans="1:12" s="57" customFormat="1" x14ac:dyDescent="0.25">
      <c r="B112" s="163" t="s">
        <v>115</v>
      </c>
      <c r="C112" s="164">
        <v>19611</v>
      </c>
      <c r="D112" s="164">
        <v>4039</v>
      </c>
      <c r="E112" s="164">
        <v>58715</v>
      </c>
      <c r="F112" s="164">
        <v>85053</v>
      </c>
      <c r="G112" s="164">
        <v>79735</v>
      </c>
      <c r="H112" s="164">
        <v>81251</v>
      </c>
      <c r="I112" s="164">
        <v>76836</v>
      </c>
      <c r="J112" s="179">
        <f t="shared" ref="J112:J119" si="34">IFERROR(I112/H112-1,"-")</f>
        <v>-5.4337792765627446E-2</v>
      </c>
      <c r="K112" s="163">
        <f t="shared" si="33"/>
        <v>-4415</v>
      </c>
      <c r="L112" s="165">
        <f t="shared" si="32"/>
        <v>2.0786908219291113E-2</v>
      </c>
    </row>
    <row r="113" spans="1:12" s="57" customFormat="1" x14ac:dyDescent="0.25">
      <c r="B113" s="163" t="s">
        <v>118</v>
      </c>
      <c r="C113" s="164">
        <v>2289</v>
      </c>
      <c r="D113" s="164">
        <v>4931</v>
      </c>
      <c r="E113" s="164">
        <v>4567</v>
      </c>
      <c r="F113" s="164">
        <v>6269</v>
      </c>
      <c r="G113" s="164">
        <v>5769</v>
      </c>
      <c r="H113" s="164">
        <v>6848</v>
      </c>
      <c r="I113" s="164">
        <v>6166</v>
      </c>
      <c r="J113" s="179">
        <f t="shared" si="34"/>
        <v>-9.9591121495327117E-2</v>
      </c>
      <c r="K113" s="163">
        <f t="shared" si="33"/>
        <v>-682</v>
      </c>
      <c r="L113" s="165">
        <f t="shared" si="32"/>
        <v>1.6681253068893359E-3</v>
      </c>
    </row>
    <row r="114" spans="1:12" x14ac:dyDescent="0.25">
      <c r="A114" s="1"/>
      <c r="B114" s="163" t="s">
        <v>121</v>
      </c>
      <c r="C114" s="164">
        <v>1751</v>
      </c>
      <c r="D114" s="164">
        <v>4218</v>
      </c>
      <c r="E114" s="164">
        <v>6021</v>
      </c>
      <c r="F114" s="164">
        <v>10258</v>
      </c>
      <c r="G114" s="164">
        <v>8610</v>
      </c>
      <c r="H114" s="164">
        <v>10973</v>
      </c>
      <c r="I114" s="164">
        <v>9815</v>
      </c>
      <c r="J114" s="179">
        <f t="shared" si="34"/>
        <v>-0.10553175977399065</v>
      </c>
      <c r="K114" s="163">
        <f t="shared" si="33"/>
        <v>-1158</v>
      </c>
      <c r="L114" s="165">
        <f t="shared" si="32"/>
        <v>2.6553113667075628E-3</v>
      </c>
    </row>
    <row r="115" spans="1:12" x14ac:dyDescent="0.25">
      <c r="A115" s="1"/>
      <c r="B115" s="163" t="s">
        <v>128</v>
      </c>
      <c r="C115" s="164">
        <v>686</v>
      </c>
      <c r="D115" s="164">
        <v>1294</v>
      </c>
      <c r="E115" s="164">
        <v>4685</v>
      </c>
      <c r="F115" s="164">
        <v>4348</v>
      </c>
      <c r="G115" s="164">
        <v>4509</v>
      </c>
      <c r="H115" s="164">
        <v>4839</v>
      </c>
      <c r="I115" s="164">
        <v>2715</v>
      </c>
      <c r="J115" s="179">
        <f t="shared" si="34"/>
        <v>-0.4389336639801612</v>
      </c>
      <c r="K115" s="163">
        <f t="shared" si="33"/>
        <v>-2124</v>
      </c>
      <c r="L115" s="165">
        <f t="shared" si="32"/>
        <v>7.345053856964883E-4</v>
      </c>
    </row>
    <row r="116" spans="1:12" x14ac:dyDescent="0.25">
      <c r="A116" s="1"/>
      <c r="B116" s="163" t="s">
        <v>124</v>
      </c>
      <c r="C116" s="164">
        <v>1071</v>
      </c>
      <c r="D116" s="164">
        <v>1947</v>
      </c>
      <c r="E116" s="164">
        <v>3970</v>
      </c>
      <c r="F116" s="164">
        <v>3990</v>
      </c>
      <c r="G116" s="164">
        <v>3556</v>
      </c>
      <c r="H116" s="164">
        <v>3667</v>
      </c>
      <c r="I116" s="164">
        <v>2220</v>
      </c>
      <c r="J116" s="179">
        <f t="shared" si="34"/>
        <v>-0.39460049086446691</v>
      </c>
      <c r="K116" s="163">
        <f t="shared" si="33"/>
        <v>-1447</v>
      </c>
      <c r="L116" s="165">
        <f t="shared" si="32"/>
        <v>6.0059003913304015E-4</v>
      </c>
    </row>
    <row r="117" spans="1:12" x14ac:dyDescent="0.25">
      <c r="A117" s="1"/>
      <c r="B117" s="163" t="s">
        <v>133</v>
      </c>
      <c r="C117" s="164">
        <v>440</v>
      </c>
      <c r="D117" s="164">
        <v>44</v>
      </c>
      <c r="E117" s="164">
        <v>598</v>
      </c>
      <c r="F117" s="164">
        <v>986</v>
      </c>
      <c r="G117" s="164">
        <v>1213</v>
      </c>
      <c r="H117" s="164">
        <v>1023</v>
      </c>
      <c r="I117" s="164">
        <v>1109</v>
      </c>
      <c r="J117" s="179">
        <f t="shared" si="34"/>
        <v>8.4066471163245282E-2</v>
      </c>
      <c r="K117" s="163">
        <f t="shared" si="33"/>
        <v>86</v>
      </c>
      <c r="L117" s="165">
        <f t="shared" si="32"/>
        <v>3.0002448351285657E-4</v>
      </c>
    </row>
    <row r="118" spans="1:12" x14ac:dyDescent="0.25">
      <c r="A118" s="162" t="s">
        <v>149</v>
      </c>
      <c r="B118" s="163" t="s">
        <v>136</v>
      </c>
      <c r="C118" s="164">
        <v>1160</v>
      </c>
      <c r="D118" s="164">
        <v>24</v>
      </c>
      <c r="E118" s="164">
        <v>848</v>
      </c>
      <c r="F118" s="164">
        <v>595</v>
      </c>
      <c r="G118" s="164">
        <v>1435</v>
      </c>
      <c r="H118" s="164">
        <v>880</v>
      </c>
      <c r="I118" s="164">
        <v>1032</v>
      </c>
      <c r="J118" s="179">
        <f t="shared" si="34"/>
        <v>0.17272727272727262</v>
      </c>
      <c r="K118" s="163">
        <f t="shared" si="33"/>
        <v>152</v>
      </c>
      <c r="L118" s="165">
        <f t="shared" si="32"/>
        <v>2.7919320738076464E-4</v>
      </c>
    </row>
    <row r="119" spans="1:12" x14ac:dyDescent="0.25">
      <c r="A119" s="167" t="s">
        <v>150</v>
      </c>
      <c r="B119" s="168" t="s">
        <v>150</v>
      </c>
      <c r="C119" s="169">
        <f t="shared" ref="C119:I119" si="35">C111-SUM(C112:C118)</f>
        <v>8577</v>
      </c>
      <c r="D119" s="169">
        <f t="shared" si="35"/>
        <v>5639</v>
      </c>
      <c r="E119" s="169">
        <f t="shared" si="35"/>
        <v>21041</v>
      </c>
      <c r="F119" s="169">
        <f t="shared" si="35"/>
        <v>21907</v>
      </c>
      <c r="G119" s="169">
        <f t="shared" si="35"/>
        <v>25682</v>
      </c>
      <c r="H119" s="169">
        <f t="shared" si="35"/>
        <v>28805</v>
      </c>
      <c r="I119" s="169">
        <f t="shared" si="35"/>
        <v>25565</v>
      </c>
      <c r="J119" s="180">
        <f t="shared" si="34"/>
        <v>-0.11248047214025347</v>
      </c>
      <c r="K119" s="168">
        <f>I119-H119</f>
        <v>-3240</v>
      </c>
      <c r="L119" s="170">
        <f t="shared" si="32"/>
        <v>6.9162542119081856E-3</v>
      </c>
    </row>
    <row r="120" spans="1:12" x14ac:dyDescent="0.25">
      <c r="A120" s="1"/>
      <c r="B120" s="155" t="s">
        <v>53</v>
      </c>
      <c r="C120" s="153"/>
      <c r="D120" s="153"/>
      <c r="E120" s="153"/>
      <c r="F120" s="153"/>
      <c r="G120" s="153"/>
      <c r="H120" s="153"/>
      <c r="I120" s="153"/>
      <c r="J120" s="154"/>
      <c r="K120" s="154"/>
      <c r="L120" s="153"/>
    </row>
    <row r="121" spans="1:12" x14ac:dyDescent="0.25">
      <c r="A121" s="1"/>
      <c r="B121" s="156" t="s">
        <v>73</v>
      </c>
      <c r="C121" s="176">
        <v>55825</v>
      </c>
      <c r="D121" s="176">
        <v>75280</v>
      </c>
      <c r="E121" s="176">
        <v>128348</v>
      </c>
      <c r="F121" s="176">
        <v>150641</v>
      </c>
      <c r="G121" s="176">
        <v>153105</v>
      </c>
      <c r="H121" s="176">
        <v>171430</v>
      </c>
      <c r="I121" s="176">
        <v>175021</v>
      </c>
      <c r="J121" s="177">
        <f>IFERROR(I121/H121-1,"-")</f>
        <v>2.0947325438954723E-2</v>
      </c>
      <c r="K121" s="176">
        <f>I121-H121</f>
        <v>3591</v>
      </c>
      <c r="L121" s="177">
        <f t="shared" ref="L121:L133" si="36">I121/I$9</f>
        <v>4.7349490648244966E-2</v>
      </c>
    </row>
    <row r="122" spans="1:12" x14ac:dyDescent="0.25">
      <c r="A122" s="1" t="s">
        <v>101</v>
      </c>
      <c r="B122" s="159" t="s">
        <v>102</v>
      </c>
      <c r="C122" s="160">
        <v>28023</v>
      </c>
      <c r="D122" s="160">
        <v>49726</v>
      </c>
      <c r="E122" s="160">
        <v>77834</v>
      </c>
      <c r="F122" s="160">
        <v>91922</v>
      </c>
      <c r="G122" s="160">
        <v>94162</v>
      </c>
      <c r="H122" s="160">
        <v>108956</v>
      </c>
      <c r="I122" s="160">
        <v>108612</v>
      </c>
      <c r="J122" s="178">
        <f>IFERROR(I122/H122-1,"-")</f>
        <v>-3.15723778405963E-3</v>
      </c>
      <c r="K122" s="159">
        <f t="shared" ref="K122:K132" si="37">I122-H122</f>
        <v>-344</v>
      </c>
      <c r="L122" s="161">
        <f t="shared" si="36"/>
        <v>2.9383461860503494E-2</v>
      </c>
    </row>
    <row r="123" spans="1:12" x14ac:dyDescent="0.25">
      <c r="A123" s="162" t="s">
        <v>108</v>
      </c>
      <c r="B123" s="163" t="s">
        <v>108</v>
      </c>
      <c r="C123" s="164">
        <v>14178</v>
      </c>
      <c r="D123" s="164">
        <v>25952</v>
      </c>
      <c r="E123" s="164">
        <v>39856</v>
      </c>
      <c r="F123" s="164">
        <v>42188</v>
      </c>
      <c r="G123" s="164">
        <v>44403</v>
      </c>
      <c r="H123" s="164">
        <v>56559</v>
      </c>
      <c r="I123" s="164">
        <v>56385</v>
      </c>
      <c r="J123" s="179">
        <f>IFERROR(I123/H123-1,"-")</f>
        <v>-3.0764334588659903E-3</v>
      </c>
      <c r="K123" s="163">
        <f t="shared" si="37"/>
        <v>-174</v>
      </c>
      <c r="L123" s="165">
        <f t="shared" si="36"/>
        <v>1.525417538581823E-2</v>
      </c>
    </row>
    <row r="124" spans="1:12" x14ac:dyDescent="0.25">
      <c r="A124" s="162" t="s">
        <v>105</v>
      </c>
      <c r="B124" s="163" t="s">
        <v>105</v>
      </c>
      <c r="C124" s="164">
        <v>13845</v>
      </c>
      <c r="D124" s="164">
        <v>23774</v>
      </c>
      <c r="E124" s="164">
        <v>37978</v>
      </c>
      <c r="F124" s="164">
        <v>49734</v>
      </c>
      <c r="G124" s="164">
        <v>49759</v>
      </c>
      <c r="H124" s="164">
        <v>52397</v>
      </c>
      <c r="I124" s="164">
        <v>52227</v>
      </c>
      <c r="J124" s="179">
        <f>IFERROR(I124/H124-1,"-")</f>
        <v>-3.2444605607191424E-3</v>
      </c>
      <c r="K124" s="163">
        <f t="shared" si="37"/>
        <v>-170</v>
      </c>
      <c r="L124" s="165">
        <f t="shared" si="36"/>
        <v>1.4129286474685265E-2</v>
      </c>
    </row>
    <row r="125" spans="1:12" x14ac:dyDescent="0.25">
      <c r="A125" s="1"/>
      <c r="B125" s="159" t="s">
        <v>112</v>
      </c>
      <c r="C125" s="160">
        <v>27802</v>
      </c>
      <c r="D125" s="160">
        <v>25554</v>
      </c>
      <c r="E125" s="160">
        <v>50514</v>
      </c>
      <c r="F125" s="160">
        <v>58719</v>
      </c>
      <c r="G125" s="160">
        <v>58943</v>
      </c>
      <c r="H125" s="160">
        <v>62474</v>
      </c>
      <c r="I125" s="160">
        <v>66409</v>
      </c>
      <c r="J125" s="178">
        <f>IFERROR(I125/H125-1,"-")</f>
        <v>6.2986202260140178E-2</v>
      </c>
      <c r="K125" s="159">
        <f t="shared" si="37"/>
        <v>3935</v>
      </c>
      <c r="L125" s="161">
        <f t="shared" si="36"/>
        <v>1.7966028787741471E-2</v>
      </c>
    </row>
    <row r="126" spans="1:12" s="57" customFormat="1" x14ac:dyDescent="0.25">
      <c r="B126" s="163" t="s">
        <v>115</v>
      </c>
      <c r="C126" s="164">
        <v>3076</v>
      </c>
      <c r="D126" s="164">
        <v>831</v>
      </c>
      <c r="E126" s="164">
        <v>5280</v>
      </c>
      <c r="F126" s="164">
        <v>7111</v>
      </c>
      <c r="G126" s="164">
        <v>7260</v>
      </c>
      <c r="H126" s="164">
        <v>6529</v>
      </c>
      <c r="I126" s="164">
        <v>6329</v>
      </c>
      <c r="J126" s="179">
        <f t="shared" ref="J126:J133" si="38">IFERROR(I126/H126-1,"-")</f>
        <v>-3.0632562413845932E-2</v>
      </c>
      <c r="K126" s="163">
        <f t="shared" si="37"/>
        <v>-200</v>
      </c>
      <c r="L126" s="165">
        <f t="shared" si="36"/>
        <v>1.7122226836364916E-3</v>
      </c>
    </row>
    <row r="127" spans="1:12" s="57" customFormat="1" x14ac:dyDescent="0.25">
      <c r="B127" s="163" t="s">
        <v>118</v>
      </c>
      <c r="C127" s="164">
        <v>3190</v>
      </c>
      <c r="D127" s="164">
        <v>2705</v>
      </c>
      <c r="E127" s="164">
        <v>5628</v>
      </c>
      <c r="F127" s="164">
        <v>8717</v>
      </c>
      <c r="G127" s="164">
        <v>8320</v>
      </c>
      <c r="H127" s="164">
        <v>9140</v>
      </c>
      <c r="I127" s="164">
        <v>9833</v>
      </c>
      <c r="J127" s="179">
        <f t="shared" si="38"/>
        <v>7.5820568927789989E-2</v>
      </c>
      <c r="K127" s="163">
        <f t="shared" si="37"/>
        <v>693</v>
      </c>
      <c r="L127" s="165">
        <f t="shared" si="36"/>
        <v>2.6601810156735061E-3</v>
      </c>
    </row>
    <row r="128" spans="1:12" x14ac:dyDescent="0.25">
      <c r="A128" s="1"/>
      <c r="B128" s="163" t="s">
        <v>121</v>
      </c>
      <c r="C128" s="164">
        <v>2062</v>
      </c>
      <c r="D128" s="164">
        <v>3626</v>
      </c>
      <c r="E128" s="164">
        <v>4754</v>
      </c>
      <c r="F128" s="164">
        <v>5328</v>
      </c>
      <c r="G128" s="164">
        <v>4926</v>
      </c>
      <c r="H128" s="164">
        <v>5289</v>
      </c>
      <c r="I128" s="164">
        <v>5467</v>
      </c>
      <c r="J128" s="179">
        <f t="shared" si="38"/>
        <v>3.365475515220262E-2</v>
      </c>
      <c r="K128" s="163">
        <f t="shared" si="37"/>
        <v>178</v>
      </c>
      <c r="L128" s="165">
        <f t="shared" si="36"/>
        <v>1.4790206053785272E-3</v>
      </c>
    </row>
    <row r="129" spans="1:12" x14ac:dyDescent="0.25">
      <c r="A129" s="1"/>
      <c r="B129" s="163" t="s">
        <v>128</v>
      </c>
      <c r="C129" s="164">
        <v>560</v>
      </c>
      <c r="D129" s="164">
        <v>458</v>
      </c>
      <c r="E129" s="164">
        <v>1357</v>
      </c>
      <c r="F129" s="164">
        <v>1602</v>
      </c>
      <c r="G129" s="164">
        <v>1492</v>
      </c>
      <c r="H129" s="164">
        <v>1616</v>
      </c>
      <c r="I129" s="164">
        <v>1872</v>
      </c>
      <c r="J129" s="179">
        <f t="shared" si="38"/>
        <v>0.15841584158415833</v>
      </c>
      <c r="K129" s="163">
        <f t="shared" si="37"/>
        <v>256</v>
      </c>
      <c r="L129" s="165">
        <f t="shared" si="36"/>
        <v>5.0644349245813122E-4</v>
      </c>
    </row>
    <row r="130" spans="1:12" x14ac:dyDescent="0.25">
      <c r="A130" s="1"/>
      <c r="B130" s="163" t="s">
        <v>124</v>
      </c>
      <c r="C130" s="164">
        <v>480</v>
      </c>
      <c r="D130" s="164">
        <v>406</v>
      </c>
      <c r="E130" s="164">
        <v>1057</v>
      </c>
      <c r="F130" s="164">
        <v>1152</v>
      </c>
      <c r="G130" s="164">
        <v>1208</v>
      </c>
      <c r="H130" s="164">
        <v>1383</v>
      </c>
      <c r="I130" s="164">
        <v>1415</v>
      </c>
      <c r="J130" s="179">
        <f t="shared" si="38"/>
        <v>2.3138105567606759E-2</v>
      </c>
      <c r="K130" s="163">
        <f t="shared" si="37"/>
        <v>32</v>
      </c>
      <c r="L130" s="165">
        <f t="shared" si="36"/>
        <v>3.8280851593389722E-4</v>
      </c>
    </row>
    <row r="131" spans="1:12" x14ac:dyDescent="0.25">
      <c r="A131" s="1"/>
      <c r="B131" s="163" t="s">
        <v>133</v>
      </c>
      <c r="C131" s="164">
        <v>673</v>
      </c>
      <c r="D131" s="164">
        <v>64</v>
      </c>
      <c r="E131" s="164">
        <v>646</v>
      </c>
      <c r="F131" s="164">
        <v>851</v>
      </c>
      <c r="G131" s="164">
        <v>981</v>
      </c>
      <c r="H131" s="164">
        <v>772</v>
      </c>
      <c r="I131" s="164">
        <v>585</v>
      </c>
      <c r="J131" s="179">
        <f t="shared" si="38"/>
        <v>-0.24222797927461137</v>
      </c>
      <c r="K131" s="163">
        <f t="shared" si="37"/>
        <v>-187</v>
      </c>
      <c r="L131" s="165">
        <f t="shared" si="36"/>
        <v>1.5826359139316598E-4</v>
      </c>
    </row>
    <row r="132" spans="1:12" x14ac:dyDescent="0.25">
      <c r="A132" s="162" t="s">
        <v>149</v>
      </c>
      <c r="B132" s="163" t="s">
        <v>136</v>
      </c>
      <c r="C132" s="164">
        <v>1018</v>
      </c>
      <c r="D132" s="164">
        <v>179</v>
      </c>
      <c r="E132" s="164">
        <v>1107</v>
      </c>
      <c r="F132" s="164">
        <v>1559</v>
      </c>
      <c r="G132" s="164">
        <v>1490</v>
      </c>
      <c r="H132" s="164">
        <v>1446</v>
      </c>
      <c r="I132" s="164">
        <v>1319</v>
      </c>
      <c r="J132" s="179">
        <f t="shared" si="38"/>
        <v>-8.7828492392807767E-2</v>
      </c>
      <c r="K132" s="163">
        <f t="shared" si="37"/>
        <v>-127</v>
      </c>
      <c r="L132" s="165">
        <f t="shared" si="36"/>
        <v>3.5683705478219819E-4</v>
      </c>
    </row>
    <row r="133" spans="1:12" x14ac:dyDescent="0.25">
      <c r="A133" s="167" t="s">
        <v>150</v>
      </c>
      <c r="B133" s="168" t="s">
        <v>150</v>
      </c>
      <c r="C133" s="169">
        <f t="shared" ref="C133:I133" si="39">C125-SUM(C126:C132)</f>
        <v>16743</v>
      </c>
      <c r="D133" s="169">
        <f t="shared" si="39"/>
        <v>17285</v>
      </c>
      <c r="E133" s="169">
        <f t="shared" si="39"/>
        <v>30685</v>
      </c>
      <c r="F133" s="169">
        <f t="shared" si="39"/>
        <v>32399</v>
      </c>
      <c r="G133" s="169">
        <f t="shared" si="39"/>
        <v>33266</v>
      </c>
      <c r="H133" s="169">
        <f t="shared" si="39"/>
        <v>36299</v>
      </c>
      <c r="I133" s="169">
        <f t="shared" si="39"/>
        <v>39589</v>
      </c>
      <c r="J133" s="180">
        <f t="shared" si="38"/>
        <v>9.0636105677842416E-2</v>
      </c>
      <c r="K133" s="168">
        <f>I133-H133</f>
        <v>3290</v>
      </c>
      <c r="L133" s="170">
        <f t="shared" si="36"/>
        <v>1.0710251828485553E-2</v>
      </c>
    </row>
    <row r="134" spans="1:12" x14ac:dyDescent="0.25">
      <c r="A134" s="1"/>
      <c r="B134" s="155" t="s">
        <v>54</v>
      </c>
      <c r="C134" s="153"/>
      <c r="D134" s="153"/>
      <c r="E134" s="153"/>
      <c r="F134" s="153"/>
      <c r="G134" s="153"/>
      <c r="H134" s="153"/>
      <c r="I134" s="153"/>
      <c r="J134" s="154"/>
      <c r="K134" s="154"/>
      <c r="L134" s="153"/>
    </row>
    <row r="135" spans="1:12" x14ac:dyDescent="0.25">
      <c r="A135" s="1"/>
      <c r="B135" s="156" t="s">
        <v>73</v>
      </c>
      <c r="C135" s="176">
        <v>65963</v>
      </c>
      <c r="D135" s="176">
        <v>48429</v>
      </c>
      <c r="E135" s="176">
        <v>172180</v>
      </c>
      <c r="F135" s="176">
        <v>190269</v>
      </c>
      <c r="G135" s="176">
        <v>201082</v>
      </c>
      <c r="H135" s="176">
        <v>195455</v>
      </c>
      <c r="I135" s="176">
        <v>202101</v>
      </c>
      <c r="J135" s="177">
        <f>IFERROR(I135/H135-1,"-")</f>
        <v>3.4002711621600845E-2</v>
      </c>
      <c r="K135" s="176">
        <f>I135-H135</f>
        <v>6646</v>
      </c>
      <c r="L135" s="177">
        <f t="shared" ref="L135:L147" si="40">I135/I$9</f>
        <v>5.4675606981453399E-2</v>
      </c>
    </row>
    <row r="136" spans="1:12" x14ac:dyDescent="0.25">
      <c r="A136" s="1" t="s">
        <v>101</v>
      </c>
      <c r="B136" s="159" t="s">
        <v>102</v>
      </c>
      <c r="C136" s="160">
        <v>2995</v>
      </c>
      <c r="D136" s="160">
        <v>25312</v>
      </c>
      <c r="E136" s="160">
        <v>16657</v>
      </c>
      <c r="F136" s="160">
        <v>22723</v>
      </c>
      <c r="G136" s="160">
        <v>16561</v>
      </c>
      <c r="H136" s="160">
        <v>16781</v>
      </c>
      <c r="I136" s="160">
        <v>25399</v>
      </c>
      <c r="J136" s="178">
        <f>IFERROR(I136/H136-1,"-")</f>
        <v>0.51355699898694951</v>
      </c>
      <c r="K136" s="159">
        <f t="shared" ref="K136:K146" si="41">I136-H136</f>
        <v>8618</v>
      </c>
      <c r="L136" s="161">
        <f t="shared" si="40"/>
        <v>6.8713452270000395E-3</v>
      </c>
    </row>
    <row r="137" spans="1:12" x14ac:dyDescent="0.25">
      <c r="A137" s="162" t="s">
        <v>108</v>
      </c>
      <c r="B137" s="163" t="s">
        <v>108</v>
      </c>
      <c r="C137" s="164">
        <v>1936</v>
      </c>
      <c r="D137" s="164">
        <v>19905</v>
      </c>
      <c r="E137" s="164">
        <v>10927</v>
      </c>
      <c r="F137" s="164">
        <v>15464</v>
      </c>
      <c r="G137" s="164">
        <v>10591</v>
      </c>
      <c r="H137" s="164">
        <v>9497</v>
      </c>
      <c r="I137" s="164">
        <v>15359</v>
      </c>
      <c r="J137" s="179">
        <f>IFERROR(I137/H137-1,"-")</f>
        <v>0.61724755185848168</v>
      </c>
      <c r="K137" s="163">
        <f t="shared" si="41"/>
        <v>5862</v>
      </c>
      <c r="L137" s="165">
        <f t="shared" si="40"/>
        <v>4.155163248218182E-3</v>
      </c>
    </row>
    <row r="138" spans="1:12" x14ac:dyDescent="0.25">
      <c r="A138" s="162" t="s">
        <v>105</v>
      </c>
      <c r="B138" s="163" t="s">
        <v>105</v>
      </c>
      <c r="C138" s="164">
        <v>1059</v>
      </c>
      <c r="D138" s="164">
        <v>5407</v>
      </c>
      <c r="E138" s="164">
        <v>5730</v>
      </c>
      <c r="F138" s="164">
        <v>7259</v>
      </c>
      <c r="G138" s="164">
        <v>5970</v>
      </c>
      <c r="H138" s="164">
        <v>7284</v>
      </c>
      <c r="I138" s="164">
        <v>10040</v>
      </c>
      <c r="J138" s="179">
        <f>IFERROR(I138/H138-1,"-")</f>
        <v>0.37836353651839638</v>
      </c>
      <c r="K138" s="163">
        <f t="shared" si="41"/>
        <v>2756</v>
      </c>
      <c r="L138" s="165">
        <f t="shared" si="40"/>
        <v>2.7161819787818575E-3</v>
      </c>
    </row>
    <row r="139" spans="1:12" x14ac:dyDescent="0.25">
      <c r="A139" s="1"/>
      <c r="B139" s="159" t="s">
        <v>112</v>
      </c>
      <c r="C139" s="160">
        <v>62968</v>
      </c>
      <c r="D139" s="160">
        <v>23117</v>
      </c>
      <c r="E139" s="160">
        <v>155523</v>
      </c>
      <c r="F139" s="160">
        <v>167546</v>
      </c>
      <c r="G139" s="160">
        <v>184521</v>
      </c>
      <c r="H139" s="160">
        <v>178674</v>
      </c>
      <c r="I139" s="160">
        <v>176702</v>
      </c>
      <c r="J139" s="178">
        <f>IFERROR(I139/H139-1,"-")</f>
        <v>-1.103686042737051E-2</v>
      </c>
      <c r="K139" s="159">
        <f t="shared" si="41"/>
        <v>-1972</v>
      </c>
      <c r="L139" s="161">
        <f t="shared" si="40"/>
        <v>4.7804261754453362E-2</v>
      </c>
    </row>
    <row r="140" spans="1:12" s="57" customFormat="1" x14ac:dyDescent="0.25">
      <c r="B140" s="163" t="s">
        <v>115</v>
      </c>
      <c r="C140" s="164">
        <v>28766</v>
      </c>
      <c r="D140" s="164">
        <v>1277</v>
      </c>
      <c r="E140" s="164">
        <v>64768</v>
      </c>
      <c r="F140" s="164">
        <v>68908</v>
      </c>
      <c r="G140" s="164">
        <v>81057</v>
      </c>
      <c r="H140" s="164">
        <v>82167</v>
      </c>
      <c r="I140" s="164">
        <v>76883</v>
      </c>
      <c r="J140" s="179">
        <f t="shared" ref="J140:J147" si="42">IFERROR(I140/H140-1,"-")</f>
        <v>-6.4308055545413634E-2</v>
      </c>
      <c r="K140" s="163">
        <f t="shared" si="41"/>
        <v>-5284</v>
      </c>
      <c r="L140" s="165">
        <f t="shared" si="40"/>
        <v>2.0799623413813299E-2</v>
      </c>
    </row>
    <row r="141" spans="1:12" s="57" customFormat="1" x14ac:dyDescent="0.25">
      <c r="B141" s="163" t="s">
        <v>118</v>
      </c>
      <c r="C141" s="164">
        <v>4028</v>
      </c>
      <c r="D141" s="164">
        <v>2580</v>
      </c>
      <c r="E141" s="164">
        <v>10714</v>
      </c>
      <c r="F141" s="164">
        <v>14628</v>
      </c>
      <c r="G141" s="164">
        <v>16178</v>
      </c>
      <c r="H141" s="164">
        <v>14981</v>
      </c>
      <c r="I141" s="164">
        <v>15036</v>
      </c>
      <c r="J141" s="179">
        <f t="shared" si="42"/>
        <v>3.6713170015352237E-3</v>
      </c>
      <c r="K141" s="163">
        <f t="shared" si="41"/>
        <v>55</v>
      </c>
      <c r="L141" s="165">
        <f t="shared" si="40"/>
        <v>4.0677801028848612E-3</v>
      </c>
    </row>
    <row r="142" spans="1:12" x14ac:dyDescent="0.25">
      <c r="A142" s="1"/>
      <c r="B142" s="163" t="s">
        <v>121</v>
      </c>
      <c r="C142" s="164">
        <v>4260</v>
      </c>
      <c r="D142" s="164">
        <v>6339</v>
      </c>
      <c r="E142" s="164">
        <v>18935</v>
      </c>
      <c r="F142" s="164">
        <v>17146</v>
      </c>
      <c r="G142" s="164">
        <v>18323</v>
      </c>
      <c r="H142" s="164">
        <v>15836</v>
      </c>
      <c r="I142" s="164">
        <v>16499</v>
      </c>
      <c r="J142" s="179">
        <f t="shared" si="42"/>
        <v>4.1866632988128316E-2</v>
      </c>
      <c r="K142" s="163">
        <f t="shared" si="41"/>
        <v>663</v>
      </c>
      <c r="L142" s="165">
        <f t="shared" si="40"/>
        <v>4.4635743493946075E-3</v>
      </c>
    </row>
    <row r="143" spans="1:12" x14ac:dyDescent="0.25">
      <c r="A143" s="1"/>
      <c r="B143" s="163" t="s">
        <v>128</v>
      </c>
      <c r="C143" s="164">
        <v>933</v>
      </c>
      <c r="D143" s="164">
        <v>415</v>
      </c>
      <c r="E143" s="164">
        <v>7158</v>
      </c>
      <c r="F143" s="164">
        <v>6455</v>
      </c>
      <c r="G143" s="164">
        <v>4925</v>
      </c>
      <c r="H143" s="164">
        <v>4393</v>
      </c>
      <c r="I143" s="164">
        <v>3521</v>
      </c>
      <c r="J143" s="179">
        <f t="shared" si="42"/>
        <v>-0.19849760983382658</v>
      </c>
      <c r="K143" s="163">
        <f t="shared" si="41"/>
        <v>-872</v>
      </c>
      <c r="L143" s="165">
        <f t="shared" si="40"/>
        <v>9.5255744494929478E-4</v>
      </c>
    </row>
    <row r="144" spans="1:12" x14ac:dyDescent="0.25">
      <c r="A144" s="1"/>
      <c r="B144" s="163" t="s">
        <v>124</v>
      </c>
      <c r="C144" s="164">
        <v>1112</v>
      </c>
      <c r="D144" s="164">
        <v>719</v>
      </c>
      <c r="E144" s="164">
        <v>3375</v>
      </c>
      <c r="F144" s="164">
        <v>3723</v>
      </c>
      <c r="G144" s="164">
        <v>4462</v>
      </c>
      <c r="H144" s="164">
        <v>3326</v>
      </c>
      <c r="I144" s="164">
        <v>3553</v>
      </c>
      <c r="J144" s="179">
        <f t="shared" si="42"/>
        <v>6.8250150330727566E-2</v>
      </c>
      <c r="K144" s="163">
        <f t="shared" si="41"/>
        <v>227</v>
      </c>
      <c r="L144" s="165">
        <f t="shared" si="40"/>
        <v>9.6121459866652776E-4</v>
      </c>
    </row>
    <row r="145" spans="1:12" x14ac:dyDescent="0.25">
      <c r="A145" s="1"/>
      <c r="B145" s="163" t="s">
        <v>133</v>
      </c>
      <c r="C145" s="164">
        <v>2356</v>
      </c>
      <c r="D145" s="164">
        <v>66</v>
      </c>
      <c r="E145" s="164">
        <v>2389</v>
      </c>
      <c r="F145" s="164">
        <v>2756</v>
      </c>
      <c r="G145" s="164">
        <v>2492</v>
      </c>
      <c r="H145" s="164">
        <v>2766</v>
      </c>
      <c r="I145" s="164">
        <v>2311</v>
      </c>
      <c r="J145" s="179">
        <f t="shared" si="42"/>
        <v>-0.16449746926970354</v>
      </c>
      <c r="K145" s="163">
        <f t="shared" si="41"/>
        <v>-455</v>
      </c>
      <c r="L145" s="165">
        <f t="shared" si="40"/>
        <v>6.2520882001642155E-4</v>
      </c>
    </row>
    <row r="146" spans="1:12" x14ac:dyDescent="0.25">
      <c r="A146" s="162" t="s">
        <v>149</v>
      </c>
      <c r="B146" s="163" t="s">
        <v>136</v>
      </c>
      <c r="C146" s="164">
        <v>4700</v>
      </c>
      <c r="D146" s="164">
        <v>65</v>
      </c>
      <c r="E146" s="164">
        <v>1142</v>
      </c>
      <c r="F146" s="164">
        <v>2041</v>
      </c>
      <c r="G146" s="164">
        <v>1996</v>
      </c>
      <c r="H146" s="164">
        <v>1371</v>
      </c>
      <c r="I146" s="164">
        <v>1436</v>
      </c>
      <c r="J146" s="179">
        <f t="shared" si="42"/>
        <v>4.7410649161196305E-2</v>
      </c>
      <c r="K146" s="163">
        <f t="shared" si="41"/>
        <v>65</v>
      </c>
      <c r="L146" s="165">
        <f t="shared" si="40"/>
        <v>3.8848977306083139E-4</v>
      </c>
    </row>
    <row r="147" spans="1:12" x14ac:dyDescent="0.25">
      <c r="A147" s="167" t="s">
        <v>150</v>
      </c>
      <c r="B147" s="168" t="s">
        <v>150</v>
      </c>
      <c r="C147" s="169">
        <f t="shared" ref="C147:I147" si="43">C139-SUM(C140:C146)</f>
        <v>16813</v>
      </c>
      <c r="D147" s="169">
        <f t="shared" si="43"/>
        <v>11656</v>
      </c>
      <c r="E147" s="169">
        <f t="shared" si="43"/>
        <v>47042</v>
      </c>
      <c r="F147" s="169">
        <f t="shared" si="43"/>
        <v>51889</v>
      </c>
      <c r="G147" s="169">
        <f t="shared" si="43"/>
        <v>55088</v>
      </c>
      <c r="H147" s="169">
        <f t="shared" si="43"/>
        <v>53834</v>
      </c>
      <c r="I147" s="169">
        <f t="shared" si="43"/>
        <v>57463</v>
      </c>
      <c r="J147" s="180">
        <f t="shared" si="42"/>
        <v>6.7410929895604932E-2</v>
      </c>
      <c r="K147" s="168">
        <f>I147-H147</f>
        <v>3629</v>
      </c>
      <c r="L147" s="170">
        <f t="shared" si="40"/>
        <v>1.5545813251667517E-2</v>
      </c>
    </row>
    <row r="148" spans="1:12" x14ac:dyDescent="0.25">
      <c r="A148" s="1"/>
      <c r="B148" s="155" t="s">
        <v>55</v>
      </c>
      <c r="C148" s="153"/>
      <c r="D148" s="153"/>
      <c r="E148" s="153"/>
      <c r="F148" s="153"/>
      <c r="G148" s="153"/>
      <c r="H148" s="153"/>
      <c r="I148" s="153"/>
      <c r="J148" s="154"/>
      <c r="K148" s="154"/>
      <c r="L148" s="153"/>
    </row>
    <row r="149" spans="1:12" x14ac:dyDescent="0.25">
      <c r="A149" s="1"/>
      <c r="B149" s="156" t="s">
        <v>73</v>
      </c>
      <c r="C149" s="176">
        <v>131884</v>
      </c>
      <c r="D149" s="176">
        <v>29379</v>
      </c>
      <c r="E149" s="176">
        <v>70637</v>
      </c>
      <c r="F149" s="176">
        <v>81823</v>
      </c>
      <c r="G149" s="176">
        <v>84807</v>
      </c>
      <c r="H149" s="176">
        <v>81482</v>
      </c>
      <c r="I149" s="176">
        <v>69916</v>
      </c>
      <c r="J149" s="177">
        <f>IFERROR(I149/H149-1,"-")</f>
        <v>-0.14194546034707056</v>
      </c>
      <c r="K149" s="176">
        <f>I149-H149</f>
        <v>-11566</v>
      </c>
      <c r="L149" s="177">
        <f t="shared" ref="L149:L161" si="44">I149/I$9</f>
        <v>1.8914798727939476E-2</v>
      </c>
    </row>
    <row r="150" spans="1:12" x14ac:dyDescent="0.25">
      <c r="A150" s="1" t="s">
        <v>101</v>
      </c>
      <c r="B150" s="159" t="s">
        <v>102</v>
      </c>
      <c r="C150" s="160">
        <v>60681</v>
      </c>
      <c r="D150" s="160">
        <v>19564</v>
      </c>
      <c r="E150" s="160">
        <v>36230</v>
      </c>
      <c r="F150" s="160">
        <v>39816</v>
      </c>
      <c r="G150" s="160">
        <v>37081</v>
      </c>
      <c r="H150" s="160">
        <v>33664</v>
      </c>
      <c r="I150" s="160">
        <v>24219</v>
      </c>
      <c r="J150" s="178">
        <f>IFERROR(I150/H150-1,"-")</f>
        <v>-0.28056677756653992</v>
      </c>
      <c r="K150" s="159">
        <f t="shared" ref="K150:K160" si="45">I150-H150</f>
        <v>-9445</v>
      </c>
      <c r="L150" s="161">
        <f t="shared" si="44"/>
        <v>6.5521126836770721E-3</v>
      </c>
    </row>
    <row r="151" spans="1:12" x14ac:dyDescent="0.25">
      <c r="A151" s="162" t="s">
        <v>108</v>
      </c>
      <c r="B151" s="163" t="s">
        <v>108</v>
      </c>
      <c r="C151" s="164">
        <v>31201</v>
      </c>
      <c r="D151" s="164">
        <v>16551</v>
      </c>
      <c r="E151" s="164">
        <v>24996</v>
      </c>
      <c r="F151" s="164">
        <v>27744</v>
      </c>
      <c r="G151" s="164">
        <v>25022</v>
      </c>
      <c r="H151" s="164">
        <v>21066</v>
      </c>
      <c r="I151" s="164">
        <v>9686</v>
      </c>
      <c r="J151" s="179">
        <f>IFERROR(I151/H151-1,"-")</f>
        <v>-0.54020696857495487</v>
      </c>
      <c r="K151" s="163">
        <f t="shared" si="45"/>
        <v>-11380</v>
      </c>
      <c r="L151" s="165">
        <f t="shared" si="44"/>
        <v>2.6204122157849671E-3</v>
      </c>
    </row>
    <row r="152" spans="1:12" x14ac:dyDescent="0.25">
      <c r="A152" s="162" t="s">
        <v>105</v>
      </c>
      <c r="B152" s="163" t="s">
        <v>105</v>
      </c>
      <c r="C152" s="164">
        <v>29480</v>
      </c>
      <c r="D152" s="164">
        <v>3013</v>
      </c>
      <c r="E152" s="164">
        <v>11234</v>
      </c>
      <c r="F152" s="164">
        <v>12072</v>
      </c>
      <c r="G152" s="164">
        <v>12059</v>
      </c>
      <c r="H152" s="164">
        <v>12598</v>
      </c>
      <c r="I152" s="164">
        <v>14533</v>
      </c>
      <c r="J152" s="179">
        <f>IFERROR(I152/H152-1,"-")</f>
        <v>0.15359580885854895</v>
      </c>
      <c r="K152" s="163">
        <f t="shared" si="45"/>
        <v>1935</v>
      </c>
      <c r="L152" s="165">
        <f t="shared" si="44"/>
        <v>3.931700467892105E-3</v>
      </c>
    </row>
    <row r="153" spans="1:12" x14ac:dyDescent="0.25">
      <c r="A153" s="1"/>
      <c r="B153" s="159" t="s">
        <v>112</v>
      </c>
      <c r="C153" s="160">
        <v>71203</v>
      </c>
      <c r="D153" s="160">
        <v>9815</v>
      </c>
      <c r="E153" s="160">
        <v>34407</v>
      </c>
      <c r="F153" s="160">
        <v>42007</v>
      </c>
      <c r="G153" s="160">
        <v>47726</v>
      </c>
      <c r="H153" s="160">
        <v>47818</v>
      </c>
      <c r="I153" s="160">
        <v>45697</v>
      </c>
      <c r="J153" s="178">
        <f>IFERROR(I153/H153-1,"-")</f>
        <v>-4.435568196076789E-2</v>
      </c>
      <c r="K153" s="159">
        <f t="shared" si="45"/>
        <v>-2121</v>
      </c>
      <c r="L153" s="161">
        <f t="shared" si="44"/>
        <v>1.2362686044262404E-2</v>
      </c>
    </row>
    <row r="154" spans="1:12" s="57" customFormat="1" x14ac:dyDescent="0.25">
      <c r="B154" s="163" t="s">
        <v>115</v>
      </c>
      <c r="C154" s="164">
        <v>24471</v>
      </c>
      <c r="D154" s="164">
        <v>417</v>
      </c>
      <c r="E154" s="164">
        <v>12398</v>
      </c>
      <c r="F154" s="164">
        <v>14250</v>
      </c>
      <c r="G154" s="164">
        <v>14900</v>
      </c>
      <c r="H154" s="164">
        <v>12251</v>
      </c>
      <c r="I154" s="164">
        <v>13749</v>
      </c>
      <c r="J154" s="179">
        <f t="shared" ref="J154:J161" si="46">IFERROR(I154/H154-1,"-")</f>
        <v>0.12227573259325775</v>
      </c>
      <c r="K154" s="163">
        <f t="shared" si="45"/>
        <v>1498</v>
      </c>
      <c r="L154" s="165">
        <f t="shared" si="44"/>
        <v>3.7196002018198959E-3</v>
      </c>
    </row>
    <row r="155" spans="1:12" s="57" customFormat="1" x14ac:dyDescent="0.25">
      <c r="B155" s="163" t="s">
        <v>118</v>
      </c>
      <c r="C155" s="164">
        <v>13943</v>
      </c>
      <c r="D155" s="164">
        <v>2092</v>
      </c>
      <c r="E155" s="164">
        <v>8032</v>
      </c>
      <c r="F155" s="164">
        <v>8533</v>
      </c>
      <c r="G155" s="164">
        <v>9147</v>
      </c>
      <c r="H155" s="164">
        <v>8756</v>
      </c>
      <c r="I155" s="164">
        <v>8568</v>
      </c>
      <c r="J155" s="179">
        <f t="shared" si="46"/>
        <v>-2.1470991320237554E-2</v>
      </c>
      <c r="K155" s="163">
        <f t="shared" si="45"/>
        <v>-188</v>
      </c>
      <c r="L155" s="165">
        <f t="shared" si="44"/>
        <v>2.3179529077891389E-3</v>
      </c>
    </row>
    <row r="156" spans="1:12" x14ac:dyDescent="0.25">
      <c r="A156" s="1"/>
      <c r="B156" s="163" t="s">
        <v>121</v>
      </c>
      <c r="C156" s="164">
        <v>3805</v>
      </c>
      <c r="D156" s="164">
        <v>2699</v>
      </c>
      <c r="E156" s="164">
        <v>3760</v>
      </c>
      <c r="F156" s="164">
        <v>6188</v>
      </c>
      <c r="G156" s="164">
        <v>7372</v>
      </c>
      <c r="H156" s="164">
        <v>11613</v>
      </c>
      <c r="I156" s="164">
        <v>9124</v>
      </c>
      <c r="J156" s="179">
        <f t="shared" si="46"/>
        <v>-0.21432876948247659</v>
      </c>
      <c r="K156" s="163">
        <f t="shared" si="45"/>
        <v>-2489</v>
      </c>
      <c r="L156" s="165">
        <f t="shared" si="44"/>
        <v>2.4683709536260623E-3</v>
      </c>
    </row>
    <row r="157" spans="1:12" x14ac:dyDescent="0.25">
      <c r="A157" s="1"/>
      <c r="B157" s="163" t="s">
        <v>128</v>
      </c>
      <c r="C157" s="164">
        <v>3811</v>
      </c>
      <c r="D157" s="164">
        <v>298</v>
      </c>
      <c r="E157" s="164">
        <v>1009</v>
      </c>
      <c r="F157" s="164">
        <v>1267</v>
      </c>
      <c r="G157" s="164">
        <v>1838</v>
      </c>
      <c r="H157" s="164">
        <v>1630</v>
      </c>
      <c r="I157" s="164">
        <v>1517</v>
      </c>
      <c r="J157" s="179">
        <f t="shared" si="46"/>
        <v>-6.9325153374233173E-2</v>
      </c>
      <c r="K157" s="163">
        <f t="shared" si="45"/>
        <v>-113</v>
      </c>
      <c r="L157" s="165">
        <f t="shared" si="44"/>
        <v>4.1040319340757744E-4</v>
      </c>
    </row>
    <row r="158" spans="1:12" x14ac:dyDescent="0.25">
      <c r="A158" s="1"/>
      <c r="B158" s="163" t="s">
        <v>124</v>
      </c>
      <c r="C158" s="164">
        <v>4605</v>
      </c>
      <c r="D158" s="164">
        <v>537</v>
      </c>
      <c r="E158" s="164">
        <v>1979</v>
      </c>
      <c r="F158" s="164">
        <v>2077</v>
      </c>
      <c r="G158" s="164">
        <v>2145</v>
      </c>
      <c r="H158" s="164">
        <v>1759</v>
      </c>
      <c r="I158" s="164">
        <v>1557</v>
      </c>
      <c r="J158" s="179">
        <f t="shared" si="46"/>
        <v>-0.114837976122797</v>
      </c>
      <c r="K158" s="163">
        <f t="shared" si="45"/>
        <v>-202</v>
      </c>
      <c r="L158" s="165">
        <f t="shared" si="44"/>
        <v>4.2122463555411871E-4</v>
      </c>
    </row>
    <row r="159" spans="1:12" x14ac:dyDescent="0.25">
      <c r="A159" s="1"/>
      <c r="B159" s="163" t="s">
        <v>133</v>
      </c>
      <c r="C159" s="164">
        <v>543</v>
      </c>
      <c r="D159" s="164">
        <v>29</v>
      </c>
      <c r="E159" s="164">
        <v>312</v>
      </c>
      <c r="F159" s="164">
        <v>503</v>
      </c>
      <c r="G159" s="164">
        <v>358</v>
      </c>
      <c r="H159" s="164">
        <v>338</v>
      </c>
      <c r="I159" s="164">
        <v>387</v>
      </c>
      <c r="J159" s="179">
        <f t="shared" si="46"/>
        <v>0.1449704142011834</v>
      </c>
      <c r="K159" s="163">
        <f t="shared" si="45"/>
        <v>49</v>
      </c>
      <c r="L159" s="165">
        <f t="shared" si="44"/>
        <v>1.0469745276778673E-4</v>
      </c>
    </row>
    <row r="160" spans="1:12" x14ac:dyDescent="0.25">
      <c r="A160" s="162" t="s">
        <v>149</v>
      </c>
      <c r="B160" s="163" t="s">
        <v>136</v>
      </c>
      <c r="C160" s="164">
        <v>674</v>
      </c>
      <c r="D160" s="164">
        <v>69</v>
      </c>
      <c r="E160" s="164">
        <v>514</v>
      </c>
      <c r="F160" s="164">
        <v>686</v>
      </c>
      <c r="G160" s="164">
        <v>598</v>
      </c>
      <c r="H160" s="164">
        <v>492</v>
      </c>
      <c r="I160" s="164">
        <v>290</v>
      </c>
      <c r="J160" s="179">
        <f t="shared" si="46"/>
        <v>-0.41056910569105687</v>
      </c>
      <c r="K160" s="163">
        <f t="shared" si="45"/>
        <v>-202</v>
      </c>
      <c r="L160" s="165">
        <f t="shared" si="44"/>
        <v>7.8455455562424163E-5</v>
      </c>
    </row>
    <row r="161" spans="1:12" x14ac:dyDescent="0.25">
      <c r="A161" s="167" t="s">
        <v>150</v>
      </c>
      <c r="B161" s="168" t="s">
        <v>150</v>
      </c>
      <c r="C161" s="169">
        <f t="shared" ref="C161:I161" si="47">C153-SUM(C154:C160)</f>
        <v>19351</v>
      </c>
      <c r="D161" s="169">
        <f t="shared" si="47"/>
        <v>3674</v>
      </c>
      <c r="E161" s="169">
        <f t="shared" si="47"/>
        <v>6403</v>
      </c>
      <c r="F161" s="169">
        <f t="shared" si="47"/>
        <v>8503</v>
      </c>
      <c r="G161" s="169">
        <f t="shared" si="47"/>
        <v>11368</v>
      </c>
      <c r="H161" s="169">
        <f t="shared" si="47"/>
        <v>10979</v>
      </c>
      <c r="I161" s="169">
        <f t="shared" si="47"/>
        <v>10505</v>
      </c>
      <c r="J161" s="180">
        <f t="shared" si="46"/>
        <v>-4.3173330904453966E-2</v>
      </c>
      <c r="K161" s="168">
        <f>I161-H161</f>
        <v>-474</v>
      </c>
      <c r="L161" s="170">
        <f t="shared" si="44"/>
        <v>2.8419812437353994E-3</v>
      </c>
    </row>
    <row r="162" spans="1:12" ht="6" customHeight="1" x14ac:dyDescent="0.25">
      <c r="C162" s="81"/>
      <c r="D162" s="81"/>
      <c r="E162" s="81"/>
      <c r="F162" s="81"/>
      <c r="G162" s="81"/>
      <c r="H162" s="81"/>
      <c r="I162" s="81"/>
      <c r="J162" s="81"/>
    </row>
    <row r="163" spans="1:12" x14ac:dyDescent="0.25">
      <c r="B163" s="107" t="s">
        <v>57</v>
      </c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</row>
  </sheetData>
  <mergeCells count="3">
    <mergeCell ref="B4:L4"/>
    <mergeCell ref="O4:X4"/>
    <mergeCell ref="C6:L6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8A0C1-23EA-43C9-8B3A-570D2055EBE2}">
  <sheetPr>
    <tabColor rgb="FFBB5C0D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7400B-C37F-4A24-9524-7DB1FC2C4DC0}">
  <sheetPr>
    <tabColor rgb="FFF29140"/>
  </sheetPr>
  <dimension ref="A4:M27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4" spans="1:13" ht="48.75" customHeight="1" thickBot="1" x14ac:dyDescent="0.3">
      <c r="B4" s="273" t="s">
        <v>280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8" t="s">
        <v>73</v>
      </c>
      <c r="D6" s="299"/>
      <c r="E6" s="299"/>
      <c r="F6" s="299"/>
      <c r="G6" s="299"/>
      <c r="H6" s="299"/>
      <c r="I6" s="299"/>
      <c r="J6" s="299"/>
      <c r="K6" s="299"/>
      <c r="L6" s="299"/>
    </row>
    <row r="7" spans="1:13" ht="22.5" thickTop="1" thickBot="1" x14ac:dyDescent="0.3">
      <c r="B7" s="112"/>
      <c r="C7" s="303">
        <f t="shared" ref="C7" si="0">E7-1</f>
        <v>2022</v>
      </c>
      <c r="D7" s="301"/>
      <c r="E7" s="300">
        <f t="shared" ref="E7" si="1">G7-1</f>
        <v>2023</v>
      </c>
      <c r="F7" s="301"/>
      <c r="G7" s="300">
        <f t="shared" ref="G7" si="2">I7-1</f>
        <v>2024</v>
      </c>
      <c r="H7" s="301"/>
      <c r="I7" s="300">
        <f>K7-1</f>
        <v>2025</v>
      </c>
      <c r="J7" s="301"/>
      <c r="K7" s="300">
        <v>2026</v>
      </c>
      <c r="L7" s="302"/>
    </row>
    <row r="8" spans="1:13" ht="16.5" thickTop="1" thickBot="1" x14ac:dyDescent="0.3">
      <c r="B8" s="87"/>
      <c r="C8" s="113" t="s">
        <v>74</v>
      </c>
      <c r="D8" s="114" t="str">
        <f>CONCATENATE("var ",RIGHT(C7,2),"/",RIGHT(C7-1,2))</f>
        <v>var 22/21</v>
      </c>
      <c r="E8" s="115" t="s">
        <v>74</v>
      </c>
      <c r="F8" s="114" t="str">
        <f>CONCATENATE("var ",RIGHT(E7,2),"/",RIGHT(C7,2))</f>
        <v>var 23/22</v>
      </c>
      <c r="G8" s="115" t="s">
        <v>74</v>
      </c>
      <c r="H8" s="114" t="str">
        <f>CONCATENATE("var ",RIGHT(G7,2),"/",RIGHT(E7,2))</f>
        <v>var 24/23</v>
      </c>
      <c r="I8" s="115" t="s">
        <v>74</v>
      </c>
      <c r="J8" s="114" t="str">
        <f>CONCATENATE("var ",RIGHT(I7,2),"/",RIGHT(G7,2))</f>
        <v>var 25/24</v>
      </c>
      <c r="K8" s="115" t="s">
        <v>74</v>
      </c>
      <c r="L8" s="114" t="str">
        <f>CONCATENATE("var ",RIGHT(K7,2),"/",RIGHT(I7,2))</f>
        <v>var 26/25</v>
      </c>
    </row>
    <row r="9" spans="1:13" x14ac:dyDescent="0.25">
      <c r="A9" s="1" t="s">
        <v>75</v>
      </c>
      <c r="B9" s="116" t="s">
        <v>76</v>
      </c>
      <c r="C9" s="117">
        <v>40065</v>
      </c>
      <c r="D9" s="118">
        <v>3.4182840758711954</v>
      </c>
      <c r="E9" s="117">
        <v>59578</v>
      </c>
      <c r="F9" s="118">
        <f t="shared" ref="F9:J21" si="3">IFERROR(E9/C9-1,"-")</f>
        <v>0.48703357044802198</v>
      </c>
      <c r="G9" s="117">
        <v>61741</v>
      </c>
      <c r="H9" s="118">
        <f t="shared" si="3"/>
        <v>3.6305347611534478E-2</v>
      </c>
      <c r="I9" s="117">
        <v>57077</v>
      </c>
      <c r="J9" s="118">
        <f t="shared" si="3"/>
        <v>-7.5541374451337018E-2</v>
      </c>
      <c r="K9" s="117">
        <v>61315</v>
      </c>
      <c r="L9" s="118">
        <f>IFERROR(K9/I9-1,"-")</f>
        <v>7.4250573786288632E-2</v>
      </c>
    </row>
    <row r="10" spans="1:13" x14ac:dyDescent="0.25">
      <c r="A10" s="1" t="s">
        <v>77</v>
      </c>
      <c r="B10" s="116" t="s">
        <v>78</v>
      </c>
      <c r="C10" s="117">
        <v>41909</v>
      </c>
      <c r="D10" s="118">
        <v>1.7677321357812708</v>
      </c>
      <c r="E10" s="117">
        <v>52194</v>
      </c>
      <c r="F10" s="118">
        <f t="shared" si="3"/>
        <v>0.24541267985396931</v>
      </c>
      <c r="G10" s="117">
        <v>55957</v>
      </c>
      <c r="H10" s="118">
        <f t="shared" si="3"/>
        <v>7.2096409548990215E-2</v>
      </c>
      <c r="I10" s="117">
        <v>52638</v>
      </c>
      <c r="J10" s="118">
        <f t="shared" si="3"/>
        <v>-5.9313401361759888E-2</v>
      </c>
      <c r="K10" s="117">
        <v>58411</v>
      </c>
      <c r="L10" s="118">
        <f t="shared" ref="L10:L15" si="4">IFERROR(K10/I10-1,"-")</f>
        <v>0.10967361981838208</v>
      </c>
    </row>
    <row r="11" spans="1:13" x14ac:dyDescent="0.25">
      <c r="A11" s="1" t="s">
        <v>79</v>
      </c>
      <c r="B11" s="116" t="s">
        <v>80</v>
      </c>
      <c r="C11" s="117">
        <v>47103</v>
      </c>
      <c r="D11" s="118">
        <v>1.1094988579873708</v>
      </c>
      <c r="E11" s="117">
        <v>58354</v>
      </c>
      <c r="F11" s="118">
        <f t="shared" si="3"/>
        <v>0.23885952062501326</v>
      </c>
      <c r="G11" s="117">
        <v>58643</v>
      </c>
      <c r="H11" s="118">
        <f t="shared" si="3"/>
        <v>4.9525311032663222E-3</v>
      </c>
      <c r="I11" s="117">
        <v>56752</v>
      </c>
      <c r="J11" s="118">
        <f t="shared" si="3"/>
        <v>-3.2245962860017352E-2</v>
      </c>
      <c r="K11" s="117">
        <v>59958</v>
      </c>
      <c r="L11" s="118">
        <f t="shared" si="4"/>
        <v>5.6491401184099344E-2</v>
      </c>
    </row>
    <row r="12" spans="1:13" x14ac:dyDescent="0.25">
      <c r="A12" s="1" t="s">
        <v>81</v>
      </c>
      <c r="B12" s="116" t="s">
        <v>82</v>
      </c>
      <c r="C12" s="117">
        <v>43531</v>
      </c>
      <c r="D12" s="118">
        <v>1.2258526358848494</v>
      </c>
      <c r="E12" s="117">
        <v>42717</v>
      </c>
      <c r="F12" s="118">
        <f t="shared" si="3"/>
        <v>-1.8699317727596476E-2</v>
      </c>
      <c r="G12" s="117">
        <v>46133</v>
      </c>
      <c r="H12" s="118">
        <f t="shared" si="3"/>
        <v>7.9968162558232025E-2</v>
      </c>
      <c r="I12" s="117">
        <v>47123</v>
      </c>
      <c r="J12" s="118">
        <f t="shared" si="3"/>
        <v>2.1459692627836979E-2</v>
      </c>
      <c r="K12" s="117">
        <v>49320</v>
      </c>
      <c r="L12" s="118">
        <f t="shared" si="4"/>
        <v>4.6622668336056661E-2</v>
      </c>
    </row>
    <row r="13" spans="1:13" x14ac:dyDescent="0.25">
      <c r="A13" s="1" t="s">
        <v>83</v>
      </c>
      <c r="B13" s="116" t="s">
        <v>84</v>
      </c>
      <c r="C13" s="117">
        <v>44866</v>
      </c>
      <c r="D13" s="118">
        <v>0.8674713839750261</v>
      </c>
      <c r="E13" s="117">
        <v>42611</v>
      </c>
      <c r="F13" s="118">
        <f t="shared" si="3"/>
        <v>-5.0260776534569618E-2</v>
      </c>
      <c r="G13" s="117">
        <v>38316</v>
      </c>
      <c r="H13" s="118">
        <f t="shared" si="3"/>
        <v>-0.10079556921921573</v>
      </c>
      <c r="I13" s="117">
        <v>45582</v>
      </c>
      <c r="J13" s="118">
        <f t="shared" si="3"/>
        <v>0.18963357344190412</v>
      </c>
      <c r="K13" s="117">
        <v>46526</v>
      </c>
      <c r="L13" s="118">
        <f t="shared" si="4"/>
        <v>2.0709929358079915E-2</v>
      </c>
    </row>
    <row r="14" spans="1:13" x14ac:dyDescent="0.25">
      <c r="A14" s="1" t="s">
        <v>85</v>
      </c>
      <c r="B14" s="116" t="s">
        <v>86</v>
      </c>
      <c r="C14" s="117">
        <v>40470</v>
      </c>
      <c r="D14" s="118">
        <v>0.51035640977794361</v>
      </c>
      <c r="E14" s="117">
        <v>38639</v>
      </c>
      <c r="F14" s="118">
        <f t="shared" si="3"/>
        <v>-4.5243390165554787E-2</v>
      </c>
      <c r="G14" s="117">
        <v>40074</v>
      </c>
      <c r="H14" s="118">
        <f t="shared" si="3"/>
        <v>3.7138642304407554E-2</v>
      </c>
      <c r="I14" s="117">
        <v>42497</v>
      </c>
      <c r="J14" s="118">
        <f t="shared" si="3"/>
        <v>6.0463143185107482E-2</v>
      </c>
      <c r="K14" s="117">
        <v>40082</v>
      </c>
      <c r="L14" s="118">
        <f t="shared" si="4"/>
        <v>-5.6827540767583562E-2</v>
      </c>
    </row>
    <row r="15" spans="1:13" x14ac:dyDescent="0.25">
      <c r="A15" s="1" t="s">
        <v>87</v>
      </c>
      <c r="B15" s="116" t="s">
        <v>88</v>
      </c>
      <c r="C15" s="117">
        <v>43286</v>
      </c>
      <c r="D15" s="118">
        <v>0.38630540609787345</v>
      </c>
      <c r="E15" s="117">
        <v>41786</v>
      </c>
      <c r="F15" s="118">
        <f t="shared" si="3"/>
        <v>-3.4653236612299576E-2</v>
      </c>
      <c r="G15" s="117">
        <v>45242</v>
      </c>
      <c r="H15" s="118">
        <f t="shared" si="3"/>
        <v>8.2707126788876595E-2</v>
      </c>
      <c r="I15" s="117">
        <v>49837</v>
      </c>
      <c r="J15" s="118">
        <f t="shared" si="3"/>
        <v>0.10156491755448482</v>
      </c>
      <c r="K15" s="117">
        <v>47307</v>
      </c>
      <c r="L15" s="118">
        <f t="shared" si="4"/>
        <v>-5.0765495515380121E-2</v>
      </c>
    </row>
    <row r="16" spans="1:13" x14ac:dyDescent="0.25">
      <c r="A16" s="1" t="s">
        <v>89</v>
      </c>
      <c r="B16" s="116" t="s">
        <v>90</v>
      </c>
      <c r="C16" s="117">
        <v>41695</v>
      </c>
      <c r="D16" s="118">
        <v>0.15335675361677414</v>
      </c>
      <c r="E16" s="117">
        <v>43373</v>
      </c>
      <c r="F16" s="118">
        <f t="shared" si="3"/>
        <v>4.0244633649118677E-2</v>
      </c>
      <c r="G16" s="117">
        <v>42595</v>
      </c>
      <c r="H16" s="118">
        <f t="shared" si="3"/>
        <v>-1.7937426509579746E-2</v>
      </c>
      <c r="I16" s="117">
        <v>49206</v>
      </c>
      <c r="J16" s="118">
        <f t="shared" si="3"/>
        <v>0.15520601009508161</v>
      </c>
      <c r="K16" s="117"/>
      <c r="L16" s="118"/>
    </row>
    <row r="17" spans="1:13" x14ac:dyDescent="0.25">
      <c r="A17" s="1" t="s">
        <v>91</v>
      </c>
      <c r="B17" s="116" t="s">
        <v>92</v>
      </c>
      <c r="C17" s="117">
        <v>42224</v>
      </c>
      <c r="D17" s="118">
        <v>0.16634440086183089</v>
      </c>
      <c r="E17" s="117">
        <v>40151</v>
      </c>
      <c r="F17" s="118">
        <f t="shared" si="3"/>
        <v>-4.9095301250473677E-2</v>
      </c>
      <c r="G17" s="117">
        <v>43154</v>
      </c>
      <c r="H17" s="118">
        <f t="shared" si="3"/>
        <v>7.479265771711785E-2</v>
      </c>
      <c r="I17" s="117">
        <v>47691</v>
      </c>
      <c r="J17" s="118">
        <f t="shared" si="3"/>
        <v>0.10513509755758443</v>
      </c>
      <c r="K17" s="117"/>
      <c r="L17" s="118"/>
    </row>
    <row r="18" spans="1:13" x14ac:dyDescent="0.25">
      <c r="A18" s="1" t="s">
        <v>93</v>
      </c>
      <c r="B18" s="116" t="s">
        <v>94</v>
      </c>
      <c r="C18" s="117">
        <v>48246</v>
      </c>
      <c r="D18" s="118">
        <v>0.12763819095477391</v>
      </c>
      <c r="E18" s="117">
        <v>49321</v>
      </c>
      <c r="F18" s="118">
        <f t="shared" si="3"/>
        <v>2.2281639928698693E-2</v>
      </c>
      <c r="G18" s="117">
        <v>43124</v>
      </c>
      <c r="H18" s="118">
        <f t="shared" si="3"/>
        <v>-0.1256462764339733</v>
      </c>
      <c r="I18" s="117">
        <v>55510</v>
      </c>
      <c r="J18" s="118">
        <f t="shared" si="3"/>
        <v>0.28721825433633241</v>
      </c>
      <c r="K18" s="117"/>
      <c r="L18" s="118"/>
    </row>
    <row r="19" spans="1:13" x14ac:dyDescent="0.25">
      <c r="A19" s="1" t="s">
        <v>95</v>
      </c>
      <c r="B19" s="116" t="s">
        <v>96</v>
      </c>
      <c r="C19" s="117">
        <v>56046</v>
      </c>
      <c r="D19" s="118">
        <v>0.14039799780246609</v>
      </c>
      <c r="E19" s="117">
        <v>55991</v>
      </c>
      <c r="F19" s="118">
        <f t="shared" si="3"/>
        <v>-9.8133675909073403E-4</v>
      </c>
      <c r="G19" s="117">
        <v>53169</v>
      </c>
      <c r="H19" s="118">
        <f t="shared" si="3"/>
        <v>-5.0400957296708349E-2</v>
      </c>
      <c r="I19" s="117">
        <v>56612</v>
      </c>
      <c r="J19" s="118">
        <f t="shared" si="3"/>
        <v>6.4755778743252668E-2</v>
      </c>
      <c r="K19" s="117"/>
      <c r="L19" s="118"/>
    </row>
    <row r="20" spans="1:13" x14ac:dyDescent="0.25">
      <c r="A20" s="1" t="s">
        <v>97</v>
      </c>
      <c r="B20" s="116" t="s">
        <v>98</v>
      </c>
      <c r="C20" s="117">
        <v>54058</v>
      </c>
      <c r="D20" s="118">
        <v>0.15644453952294368</v>
      </c>
      <c r="E20" s="117">
        <v>53126</v>
      </c>
      <c r="F20" s="118">
        <f t="shared" si="3"/>
        <v>-1.7240741425875949E-2</v>
      </c>
      <c r="G20" s="117">
        <v>55215</v>
      </c>
      <c r="H20" s="118">
        <f t="shared" si="3"/>
        <v>3.9321612769642078E-2</v>
      </c>
      <c r="I20" s="117">
        <v>54945</v>
      </c>
      <c r="J20" s="118">
        <f t="shared" si="3"/>
        <v>-4.8899755501222719E-3</v>
      </c>
      <c r="K20" s="117"/>
      <c r="L20" s="118"/>
    </row>
    <row r="21" spans="1:13" ht="15.75" x14ac:dyDescent="0.25">
      <c r="A21" s="1" t="s">
        <v>0</v>
      </c>
      <c r="B21" s="119" t="s">
        <v>32</v>
      </c>
      <c r="C21" s="120">
        <v>543499</v>
      </c>
      <c r="D21" s="121">
        <v>0.51321244316742254</v>
      </c>
      <c r="E21" s="120">
        <v>577841</v>
      </c>
      <c r="F21" s="121">
        <f t="shared" si="3"/>
        <v>6.3186868789087081E-2</v>
      </c>
      <c r="G21" s="120">
        <v>583363</v>
      </c>
      <c r="H21" s="121">
        <f t="shared" si="3"/>
        <v>9.5562620167140011E-3</v>
      </c>
      <c r="I21" s="120">
        <v>615470</v>
      </c>
      <c r="J21" s="121">
        <f t="shared" si="3"/>
        <v>5.5037772364719739E-2</v>
      </c>
      <c r="K21" s="120">
        <v>362919</v>
      </c>
      <c r="L21" s="121">
        <v>3.2468862551421562E-2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3" x14ac:dyDescent="0.25">
      <c r="C24" s="122"/>
      <c r="I24" s="122"/>
      <c r="L24" s="81"/>
    </row>
    <row r="26" spans="1:13" ht="48.75" customHeight="1" thickBot="1" x14ac:dyDescent="0.3">
      <c r="B26" s="273" t="s">
        <v>281</v>
      </c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8" t="s">
        <v>102</v>
      </c>
      <c r="D28" s="299"/>
      <c r="E28" s="299"/>
      <c r="F28" s="299"/>
      <c r="G28" s="299"/>
      <c r="H28" s="299"/>
      <c r="I28" s="299"/>
      <c r="J28" s="299"/>
      <c r="K28" s="299"/>
      <c r="L28" s="299"/>
    </row>
    <row r="29" spans="1:13" ht="22.5" thickTop="1" thickBot="1" x14ac:dyDescent="0.3">
      <c r="B29" s="112"/>
      <c r="C29" s="303">
        <f>$C$7</f>
        <v>2022</v>
      </c>
      <c r="D29" s="301"/>
      <c r="E29" s="300">
        <f>$E$7</f>
        <v>2023</v>
      </c>
      <c r="F29" s="301"/>
      <c r="G29" s="300">
        <f>$G$7</f>
        <v>2024</v>
      </c>
      <c r="H29" s="301"/>
      <c r="I29" s="300">
        <f>$I$7</f>
        <v>2025</v>
      </c>
      <c r="J29" s="301"/>
      <c r="K29" s="300">
        <f>$K$7</f>
        <v>2026</v>
      </c>
      <c r="L29" s="302"/>
    </row>
    <row r="30" spans="1:13" ht="16.5" thickTop="1" thickBot="1" x14ac:dyDescent="0.3">
      <c r="B30" s="87"/>
      <c r="C30" s="113" t="s">
        <v>74</v>
      </c>
      <c r="D30" s="114" t="str">
        <f>CONCATENATE("var. ",RIGHT(C29,2),"/",RIGHT(C29-1,2))</f>
        <v>var. 22/21</v>
      </c>
      <c r="E30" s="115" t="s">
        <v>74</v>
      </c>
      <c r="F30" s="114" t="s">
        <v>259</v>
      </c>
      <c r="G30" s="115" t="s">
        <v>74</v>
      </c>
      <c r="H30" s="114" t="s">
        <v>259</v>
      </c>
      <c r="I30" s="115" t="s">
        <v>74</v>
      </c>
      <c r="J30" s="114" t="s">
        <v>259</v>
      </c>
      <c r="K30" s="115" t="s">
        <v>74</v>
      </c>
      <c r="L30" s="114" t="s">
        <v>282</v>
      </c>
    </row>
    <row r="31" spans="1:13" x14ac:dyDescent="0.25">
      <c r="B31" s="116" t="s">
        <v>76</v>
      </c>
      <c r="C31" s="117">
        <v>15015</v>
      </c>
      <c r="D31" s="118">
        <v>2.2450832072617248</v>
      </c>
      <c r="E31" s="117">
        <v>21636</v>
      </c>
      <c r="F31" s="118">
        <f t="shared" ref="F31:J43" si="5">IFERROR(E31/C31-1,"-")</f>
        <v>0.44095904095904093</v>
      </c>
      <c r="G31" s="117">
        <v>24061</v>
      </c>
      <c r="H31" s="118">
        <f t="shared" si="5"/>
        <v>0.11208171565908676</v>
      </c>
      <c r="I31" s="117">
        <v>23120</v>
      </c>
      <c r="J31" s="118">
        <f t="shared" si="5"/>
        <v>-3.9108931465857588E-2</v>
      </c>
      <c r="K31" s="117">
        <v>24815</v>
      </c>
      <c r="L31" s="118">
        <f t="shared" ref="L31:L37" si="6">IFERROR(K31/I31-1,"-")</f>
        <v>7.3313148788927363E-2</v>
      </c>
    </row>
    <row r="32" spans="1:13" x14ac:dyDescent="0.25">
      <c r="B32" s="116" t="s">
        <v>78</v>
      </c>
      <c r="C32" s="117">
        <v>18026</v>
      </c>
      <c r="D32" s="118">
        <v>0.92174840085287846</v>
      </c>
      <c r="E32" s="117">
        <v>23651</v>
      </c>
      <c r="F32" s="118">
        <f t="shared" si="5"/>
        <v>0.31204926217685558</v>
      </c>
      <c r="G32" s="117">
        <v>24442</v>
      </c>
      <c r="H32" s="118">
        <f t="shared" si="5"/>
        <v>3.3444674643778205E-2</v>
      </c>
      <c r="I32" s="117">
        <v>23832</v>
      </c>
      <c r="J32" s="118">
        <f t="shared" si="5"/>
        <v>-2.4957041158661375E-2</v>
      </c>
      <c r="K32" s="117">
        <v>27785</v>
      </c>
      <c r="L32" s="118">
        <f t="shared" si="6"/>
        <v>0.16586941926821086</v>
      </c>
    </row>
    <row r="33" spans="2:13" x14ac:dyDescent="0.25">
      <c r="B33" s="116" t="s">
        <v>80</v>
      </c>
      <c r="C33" s="117">
        <v>22226</v>
      </c>
      <c r="D33" s="118">
        <v>0.80860932541297093</v>
      </c>
      <c r="E33" s="117">
        <v>30146</v>
      </c>
      <c r="F33" s="118">
        <f t="shared" si="5"/>
        <v>0.35633942229820925</v>
      </c>
      <c r="G33" s="117">
        <v>25658</v>
      </c>
      <c r="H33" s="118">
        <f t="shared" si="5"/>
        <v>-0.14887547269952894</v>
      </c>
      <c r="I33" s="117">
        <v>30942</v>
      </c>
      <c r="J33" s="118">
        <f t="shared" si="5"/>
        <v>0.20593966793982377</v>
      </c>
      <c r="K33" s="117">
        <v>29925</v>
      </c>
      <c r="L33" s="118">
        <f t="shared" si="6"/>
        <v>-3.2867946480511945E-2</v>
      </c>
    </row>
    <row r="34" spans="2:13" x14ac:dyDescent="0.25">
      <c r="B34" s="116" t="s">
        <v>82</v>
      </c>
      <c r="C34" s="117">
        <v>22061</v>
      </c>
      <c r="D34" s="118">
        <v>0.91004329004328999</v>
      </c>
      <c r="E34" s="117">
        <v>25115</v>
      </c>
      <c r="F34" s="118">
        <f t="shared" si="5"/>
        <v>0.13843434114500708</v>
      </c>
      <c r="G34" s="117">
        <v>22776</v>
      </c>
      <c r="H34" s="118">
        <f t="shared" si="5"/>
        <v>-9.3131594664543127E-2</v>
      </c>
      <c r="I34" s="117">
        <v>26836</v>
      </c>
      <c r="J34" s="118">
        <f t="shared" si="5"/>
        <v>0.17825781524411655</v>
      </c>
      <c r="K34" s="117">
        <v>26892</v>
      </c>
      <c r="L34" s="118">
        <f t="shared" si="6"/>
        <v>2.086749142942379E-3</v>
      </c>
    </row>
    <row r="35" spans="2:13" x14ac:dyDescent="0.25">
      <c r="B35" s="116" t="s">
        <v>84</v>
      </c>
      <c r="C35" s="117">
        <v>26282</v>
      </c>
      <c r="D35" s="118">
        <v>0.71262869803206041</v>
      </c>
      <c r="E35" s="117">
        <v>28209</v>
      </c>
      <c r="F35" s="118">
        <f t="shared" si="5"/>
        <v>7.3320143063693832E-2</v>
      </c>
      <c r="G35" s="117">
        <v>24741</v>
      </c>
      <c r="H35" s="118">
        <f t="shared" si="5"/>
        <v>-0.12293948739763905</v>
      </c>
      <c r="I35" s="117">
        <v>30811</v>
      </c>
      <c r="J35" s="118">
        <f t="shared" si="5"/>
        <v>0.24534174043086376</v>
      </c>
      <c r="K35" s="117">
        <v>30808</v>
      </c>
      <c r="L35" s="118">
        <f t="shared" si="6"/>
        <v>-9.7367823180039004E-5</v>
      </c>
    </row>
    <row r="36" spans="2:13" x14ac:dyDescent="0.25">
      <c r="B36" s="116" t="s">
        <v>86</v>
      </c>
      <c r="C36" s="117">
        <v>24304</v>
      </c>
      <c r="D36" s="118">
        <v>0.31750420122513145</v>
      </c>
      <c r="E36" s="117">
        <v>25871</v>
      </c>
      <c r="F36" s="118">
        <f t="shared" si="5"/>
        <v>6.4474983541803921E-2</v>
      </c>
      <c r="G36" s="117">
        <v>28215</v>
      </c>
      <c r="H36" s="118">
        <f t="shared" si="5"/>
        <v>9.0603378300027071E-2</v>
      </c>
      <c r="I36" s="117">
        <v>31150</v>
      </c>
      <c r="J36" s="118">
        <f t="shared" si="5"/>
        <v>0.10402268297005146</v>
      </c>
      <c r="K36" s="117">
        <v>29046</v>
      </c>
      <c r="L36" s="118">
        <f t="shared" si="6"/>
        <v>-6.7544141252006473E-2</v>
      </c>
    </row>
    <row r="37" spans="2:13" x14ac:dyDescent="0.25">
      <c r="B37" s="116" t="s">
        <v>88</v>
      </c>
      <c r="C37" s="117">
        <v>25584</v>
      </c>
      <c r="D37" s="118">
        <v>0.24514527668272734</v>
      </c>
      <c r="E37" s="117">
        <v>26051</v>
      </c>
      <c r="F37" s="118">
        <f t="shared" si="5"/>
        <v>1.825359599749854E-2</v>
      </c>
      <c r="G37" s="117">
        <v>30089</v>
      </c>
      <c r="H37" s="118">
        <f t="shared" si="5"/>
        <v>0.15500364669302513</v>
      </c>
      <c r="I37" s="117">
        <v>32508</v>
      </c>
      <c r="J37" s="118">
        <f t="shared" si="5"/>
        <v>8.0394828674930974E-2</v>
      </c>
      <c r="K37" s="117">
        <v>31754</v>
      </c>
      <c r="L37" s="118">
        <f t="shared" si="6"/>
        <v>-2.3194290636151083E-2</v>
      </c>
    </row>
    <row r="38" spans="2:13" x14ac:dyDescent="0.25">
      <c r="B38" s="116" t="s">
        <v>90</v>
      </c>
      <c r="C38" s="117">
        <v>20956</v>
      </c>
      <c r="D38" s="118">
        <v>-4.9959198476743127E-2</v>
      </c>
      <c r="E38" s="117">
        <v>22168</v>
      </c>
      <c r="F38" s="118">
        <f t="shared" si="5"/>
        <v>5.7835464783355661E-2</v>
      </c>
      <c r="G38" s="117">
        <v>21698</v>
      </c>
      <c r="H38" s="118">
        <f t="shared" si="5"/>
        <v>-2.1201732226633019E-2</v>
      </c>
      <c r="I38" s="117">
        <v>27336</v>
      </c>
      <c r="J38" s="118">
        <f t="shared" si="5"/>
        <v>0.25983961655452115</v>
      </c>
      <c r="K38" s="117"/>
      <c r="L38" s="118"/>
    </row>
    <row r="39" spans="2:13" x14ac:dyDescent="0.25">
      <c r="B39" s="116" t="s">
        <v>92</v>
      </c>
      <c r="C39" s="117">
        <v>24548</v>
      </c>
      <c r="D39" s="118">
        <v>8.7783046040678769E-2</v>
      </c>
      <c r="E39" s="117">
        <v>23087</v>
      </c>
      <c r="F39" s="118">
        <f t="shared" si="5"/>
        <v>-5.9516050187387926E-2</v>
      </c>
      <c r="G39" s="117">
        <v>27092</v>
      </c>
      <c r="H39" s="118">
        <f t="shared" si="5"/>
        <v>0.17347424957768443</v>
      </c>
      <c r="I39" s="117">
        <v>30146</v>
      </c>
      <c r="J39" s="118">
        <f t="shared" si="5"/>
        <v>0.11272700428170679</v>
      </c>
      <c r="K39" s="117"/>
      <c r="L39" s="118"/>
    </row>
    <row r="40" spans="2:13" x14ac:dyDescent="0.25">
      <c r="B40" s="116" t="s">
        <v>94</v>
      </c>
      <c r="C40" s="117">
        <v>26214</v>
      </c>
      <c r="D40" s="118">
        <v>9.1613225618389249E-2</v>
      </c>
      <c r="E40" s="117">
        <v>28464</v>
      </c>
      <c r="F40" s="118">
        <f t="shared" si="5"/>
        <v>8.583199816891729E-2</v>
      </c>
      <c r="G40" s="117">
        <v>24346</v>
      </c>
      <c r="H40" s="118">
        <f t="shared" si="5"/>
        <v>-0.14467397414277683</v>
      </c>
      <c r="I40" s="117">
        <v>34755</v>
      </c>
      <c r="J40" s="118">
        <f t="shared" si="5"/>
        <v>0.42754456584243816</v>
      </c>
      <c r="K40" s="117"/>
      <c r="L40" s="118"/>
    </row>
    <row r="41" spans="2:13" x14ac:dyDescent="0.25">
      <c r="B41" s="116" t="s">
        <v>96</v>
      </c>
      <c r="C41" s="117">
        <v>25866</v>
      </c>
      <c r="D41" s="118">
        <v>5.7308698495748933E-2</v>
      </c>
      <c r="E41" s="117">
        <v>26745</v>
      </c>
      <c r="F41" s="118">
        <f t="shared" si="5"/>
        <v>3.3982834609139312E-2</v>
      </c>
      <c r="G41" s="117">
        <v>29114</v>
      </c>
      <c r="H41" s="118">
        <f t="shared" si="5"/>
        <v>8.8577304169003446E-2</v>
      </c>
      <c r="I41" s="117">
        <v>27849</v>
      </c>
      <c r="J41" s="118">
        <f t="shared" si="5"/>
        <v>-4.3449886652469627E-2</v>
      </c>
      <c r="K41" s="117"/>
      <c r="L41" s="118"/>
    </row>
    <row r="42" spans="2:13" x14ac:dyDescent="0.25">
      <c r="B42" s="116" t="s">
        <v>98</v>
      </c>
      <c r="C42" s="117">
        <v>20862</v>
      </c>
      <c r="D42" s="118">
        <v>-2.2490863086870982E-2</v>
      </c>
      <c r="E42" s="117">
        <v>22180</v>
      </c>
      <c r="F42" s="118">
        <f t="shared" si="5"/>
        <v>6.3177068353944987E-2</v>
      </c>
      <c r="G42" s="117">
        <v>25047</v>
      </c>
      <c r="H42" s="118">
        <f t="shared" si="5"/>
        <v>0.12926059513074839</v>
      </c>
      <c r="I42" s="117">
        <v>24284</v>
      </c>
      <c r="J42" s="118">
        <f t="shared" si="5"/>
        <v>-3.0462730067473132E-2</v>
      </c>
      <c r="K42" s="117"/>
      <c r="L42" s="118"/>
    </row>
    <row r="43" spans="2:13" ht="15.75" x14ac:dyDescent="0.25">
      <c r="B43" s="119" t="s">
        <v>32</v>
      </c>
      <c r="C43" s="120">
        <v>271944</v>
      </c>
      <c r="D43" s="121">
        <v>0.31608519534822954</v>
      </c>
      <c r="E43" s="120">
        <v>303323</v>
      </c>
      <c r="F43" s="121">
        <f t="shared" si="5"/>
        <v>0.11538772688494681</v>
      </c>
      <c r="G43" s="120">
        <v>307279</v>
      </c>
      <c r="H43" s="121">
        <f t="shared" si="5"/>
        <v>1.3042202536569958E-2</v>
      </c>
      <c r="I43" s="120">
        <v>343569</v>
      </c>
      <c r="J43" s="121">
        <f t="shared" si="5"/>
        <v>0.1181011393554392</v>
      </c>
      <c r="K43" s="120">
        <v>201025</v>
      </c>
      <c r="L43" s="121">
        <v>9.166712684300693E-3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6" spans="2:13" x14ac:dyDescent="0.25">
      <c r="C46" s="122"/>
      <c r="I46" s="122"/>
      <c r="L46" s="81"/>
    </row>
    <row r="48" spans="2:13" ht="48.75" customHeight="1" thickBot="1" x14ac:dyDescent="0.3">
      <c r="B48" s="273" t="s">
        <v>283</v>
      </c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2"/>
      <c r="C50" s="298" t="s">
        <v>105</v>
      </c>
      <c r="D50" s="299"/>
      <c r="E50" s="299"/>
      <c r="F50" s="299"/>
      <c r="G50" s="299"/>
      <c r="H50" s="299"/>
      <c r="I50" s="299"/>
      <c r="J50" s="299"/>
      <c r="K50" s="299"/>
      <c r="L50" s="299"/>
    </row>
    <row r="51" spans="1:13" ht="22.5" thickTop="1" thickBot="1" x14ac:dyDescent="0.3">
      <c r="B51" s="112"/>
      <c r="C51" s="303">
        <f>$C$7</f>
        <v>2022</v>
      </c>
      <c r="D51" s="301"/>
      <c r="E51" s="300">
        <f>$E$7</f>
        <v>2023</v>
      </c>
      <c r="F51" s="301"/>
      <c r="G51" s="300">
        <f>$G$7</f>
        <v>2024</v>
      </c>
      <c r="H51" s="301"/>
      <c r="I51" s="300">
        <f>$I$7</f>
        <v>2025</v>
      </c>
      <c r="J51" s="301"/>
      <c r="K51" s="300">
        <f>$K$7</f>
        <v>2026</v>
      </c>
      <c r="L51" s="302"/>
    </row>
    <row r="52" spans="1:13" ht="16.5" thickTop="1" thickBot="1" x14ac:dyDescent="0.3">
      <c r="B52" s="87"/>
      <c r="C52" s="113" t="s">
        <v>74</v>
      </c>
      <c r="D52" s="114" t="str">
        <f>CONCATENATE("var. ",RIGHT(C51,2),"/",RIGHT(C51-1,2))</f>
        <v>var. 22/21</v>
      </c>
      <c r="E52" s="115" t="s">
        <v>74</v>
      </c>
      <c r="F52" s="114" t="s">
        <v>259</v>
      </c>
      <c r="G52" s="115" t="s">
        <v>74</v>
      </c>
      <c r="H52" s="114" t="s">
        <v>259</v>
      </c>
      <c r="I52" s="115" t="s">
        <v>74</v>
      </c>
      <c r="J52" s="114" t="s">
        <v>259</v>
      </c>
      <c r="K52" s="115" t="s">
        <v>74</v>
      </c>
      <c r="L52" s="114" t="s">
        <v>282</v>
      </c>
    </row>
    <row r="53" spans="1:13" x14ac:dyDescent="0.25">
      <c r="A53" s="1">
        <v>1</v>
      </c>
      <c r="B53" s="116" t="s">
        <v>76</v>
      </c>
      <c r="C53" s="117">
        <v>9522</v>
      </c>
      <c r="D53" s="118">
        <v>2.2598425196850394</v>
      </c>
      <c r="E53" s="117">
        <v>11784</v>
      </c>
      <c r="F53" s="118">
        <f>IFERROR(E53/C53-1,"-")</f>
        <v>0.23755513547574036</v>
      </c>
      <c r="G53" s="117">
        <v>14987</v>
      </c>
      <c r="H53" s="118">
        <f>IFERROR(G53/E53-1,"-")</f>
        <v>0.27180923285811276</v>
      </c>
      <c r="I53" s="117">
        <v>14862</v>
      </c>
      <c r="J53" s="118">
        <f>IFERROR(I53/G53-1,"-")</f>
        <v>-8.34056182024423E-3</v>
      </c>
      <c r="K53" s="117">
        <v>14171</v>
      </c>
      <c r="L53" s="118">
        <f t="shared" ref="L53:L59" si="7">IFERROR(K53/I53-1,"-")</f>
        <v>-4.6494415287309909E-2</v>
      </c>
    </row>
    <row r="54" spans="1:13" x14ac:dyDescent="0.25">
      <c r="A54" s="1">
        <v>2</v>
      </c>
      <c r="B54" s="116" t="s">
        <v>78</v>
      </c>
      <c r="C54" s="117">
        <v>10749</v>
      </c>
      <c r="D54" s="118">
        <v>1.1109583660644149</v>
      </c>
      <c r="E54" s="117">
        <v>13893</v>
      </c>
      <c r="F54" s="118">
        <f t="shared" ref="F54:J65" si="8">IFERROR(E54/C54-1,"-")</f>
        <v>0.2924923248674296</v>
      </c>
      <c r="G54" s="117">
        <v>15680</v>
      </c>
      <c r="H54" s="118">
        <f t="shared" si="8"/>
        <v>0.12862592672568929</v>
      </c>
      <c r="I54" s="117">
        <v>14169</v>
      </c>
      <c r="J54" s="118">
        <f t="shared" si="8"/>
        <v>-9.636479591836733E-2</v>
      </c>
      <c r="K54" s="117">
        <v>15786</v>
      </c>
      <c r="L54" s="118">
        <f t="shared" si="7"/>
        <v>0.11412237984331997</v>
      </c>
    </row>
    <row r="55" spans="1:13" x14ac:dyDescent="0.25">
      <c r="A55" s="1">
        <v>3</v>
      </c>
      <c r="B55" s="116" t="s">
        <v>80</v>
      </c>
      <c r="C55" s="117">
        <v>12631</v>
      </c>
      <c r="D55" s="118">
        <v>1.1328942924687606</v>
      </c>
      <c r="E55" s="117">
        <v>18087</v>
      </c>
      <c r="F55" s="118">
        <f t="shared" si="8"/>
        <v>0.43195313118517942</v>
      </c>
      <c r="G55" s="117">
        <v>14870</v>
      </c>
      <c r="H55" s="118">
        <f t="shared" si="8"/>
        <v>-0.17786255321501632</v>
      </c>
      <c r="I55" s="117">
        <v>17196</v>
      </c>
      <c r="J55" s="118">
        <f t="shared" si="8"/>
        <v>0.15642232683254886</v>
      </c>
      <c r="K55" s="117">
        <v>17728</v>
      </c>
      <c r="L55" s="118">
        <f t="shared" si="7"/>
        <v>3.0937427308676435E-2</v>
      </c>
    </row>
    <row r="56" spans="1:13" x14ac:dyDescent="0.25">
      <c r="A56" s="1">
        <v>4</v>
      </c>
      <c r="B56" s="116" t="s">
        <v>82</v>
      </c>
      <c r="C56" s="117">
        <v>10238</v>
      </c>
      <c r="D56" s="118">
        <v>0.59918775382692901</v>
      </c>
      <c r="E56" s="117">
        <v>14354</v>
      </c>
      <c r="F56" s="118">
        <f t="shared" si="8"/>
        <v>0.40203164680601677</v>
      </c>
      <c r="G56" s="117">
        <v>13713</v>
      </c>
      <c r="H56" s="118">
        <f t="shared" si="8"/>
        <v>-4.4656541730528021E-2</v>
      </c>
      <c r="I56" s="117">
        <v>14757</v>
      </c>
      <c r="J56" s="118">
        <f t="shared" si="8"/>
        <v>7.613213738788005E-2</v>
      </c>
      <c r="K56" s="117">
        <v>13721</v>
      </c>
      <c r="L56" s="118">
        <f t="shared" si="7"/>
        <v>-7.0203970996815079E-2</v>
      </c>
    </row>
    <row r="57" spans="1:13" x14ac:dyDescent="0.25">
      <c r="A57" s="1">
        <v>5</v>
      </c>
      <c r="B57" s="116" t="s">
        <v>84</v>
      </c>
      <c r="C57" s="117">
        <v>14454</v>
      </c>
      <c r="D57" s="118">
        <v>0.89759747932256784</v>
      </c>
      <c r="E57" s="117">
        <v>16688</v>
      </c>
      <c r="F57" s="118">
        <f t="shared" si="8"/>
        <v>0.15455929154559289</v>
      </c>
      <c r="G57" s="117">
        <v>14967</v>
      </c>
      <c r="H57" s="118">
        <f t="shared" si="8"/>
        <v>-0.10312799616490886</v>
      </c>
      <c r="I57" s="117">
        <v>15736</v>
      </c>
      <c r="J57" s="118">
        <f t="shared" si="8"/>
        <v>5.13797020110911E-2</v>
      </c>
      <c r="K57" s="117">
        <v>16820</v>
      </c>
      <c r="L57" s="118">
        <f t="shared" si="7"/>
        <v>6.8886629384850018E-2</v>
      </c>
    </row>
    <row r="58" spans="1:13" x14ac:dyDescent="0.25">
      <c r="A58" s="1">
        <v>6</v>
      </c>
      <c r="B58" s="116" t="s">
        <v>86</v>
      </c>
      <c r="C58" s="117">
        <v>12044</v>
      </c>
      <c r="D58" s="118">
        <v>0.36275175379045033</v>
      </c>
      <c r="E58" s="117">
        <v>14668</v>
      </c>
      <c r="F58" s="118">
        <f t="shared" si="8"/>
        <v>0.21786781800066413</v>
      </c>
      <c r="G58" s="117">
        <v>15572</v>
      </c>
      <c r="H58" s="118">
        <f t="shared" si="8"/>
        <v>6.1630760839923582E-2</v>
      </c>
      <c r="I58" s="117">
        <v>15923</v>
      </c>
      <c r="J58" s="118">
        <f t="shared" si="8"/>
        <v>2.2540457230927347E-2</v>
      </c>
      <c r="K58" s="117">
        <v>15446</v>
      </c>
      <c r="L58" s="118">
        <f t="shared" si="7"/>
        <v>-2.9956666457325865E-2</v>
      </c>
    </row>
    <row r="59" spans="1:13" x14ac:dyDescent="0.25">
      <c r="A59" s="1">
        <v>7</v>
      </c>
      <c r="B59" s="116" t="s">
        <v>88</v>
      </c>
      <c r="C59" s="117">
        <v>12331</v>
      </c>
      <c r="D59" s="118">
        <v>4.0064102564102644E-2</v>
      </c>
      <c r="E59" s="117">
        <v>16223</v>
      </c>
      <c r="F59" s="118">
        <f t="shared" si="8"/>
        <v>0.31562728083691516</v>
      </c>
      <c r="G59" s="117">
        <v>13056</v>
      </c>
      <c r="H59" s="118">
        <f t="shared" si="8"/>
        <v>-0.19521666769401469</v>
      </c>
      <c r="I59" s="117">
        <v>14081</v>
      </c>
      <c r="J59" s="118">
        <f t="shared" si="8"/>
        <v>7.8507965686274606E-2</v>
      </c>
      <c r="K59" s="117">
        <v>12044</v>
      </c>
      <c r="L59" s="118">
        <f t="shared" si="7"/>
        <v>-0.14466302109225193</v>
      </c>
    </row>
    <row r="60" spans="1:13" x14ac:dyDescent="0.25">
      <c r="A60" s="1">
        <v>8</v>
      </c>
      <c r="B60" s="116" t="s">
        <v>90</v>
      </c>
      <c r="C60" s="117">
        <v>9178</v>
      </c>
      <c r="D60" s="118">
        <v>-0.26079252577319589</v>
      </c>
      <c r="E60" s="117">
        <v>13548</v>
      </c>
      <c r="F60" s="118">
        <f t="shared" si="8"/>
        <v>0.47613859228590116</v>
      </c>
      <c r="G60" s="117">
        <v>9705</v>
      </c>
      <c r="H60" s="118">
        <f t="shared" si="8"/>
        <v>-0.28365810451727191</v>
      </c>
      <c r="I60" s="117">
        <v>13064</v>
      </c>
      <c r="J60" s="118">
        <f t="shared" si="8"/>
        <v>0.34611025244719218</v>
      </c>
      <c r="K60" s="117"/>
      <c r="L60" s="118"/>
    </row>
    <row r="61" spans="1:13" x14ac:dyDescent="0.25">
      <c r="A61" s="1">
        <v>9</v>
      </c>
      <c r="B61" s="116" t="s">
        <v>92</v>
      </c>
      <c r="C61" s="117">
        <v>13050</v>
      </c>
      <c r="D61" s="118">
        <v>1.9451605343332456E-2</v>
      </c>
      <c r="E61" s="117">
        <v>15730</v>
      </c>
      <c r="F61" s="118">
        <f t="shared" si="8"/>
        <v>0.20536398467432959</v>
      </c>
      <c r="G61" s="117">
        <v>13601</v>
      </c>
      <c r="H61" s="118">
        <f t="shared" si="8"/>
        <v>-0.13534647171010805</v>
      </c>
      <c r="I61" s="117">
        <v>16617</v>
      </c>
      <c r="J61" s="118">
        <f t="shared" si="8"/>
        <v>0.2217484008528785</v>
      </c>
      <c r="K61" s="117"/>
      <c r="L61" s="118"/>
    </row>
    <row r="62" spans="1:13" x14ac:dyDescent="0.25">
      <c r="A62" s="1">
        <v>10</v>
      </c>
      <c r="B62" s="116" t="s">
        <v>94</v>
      </c>
      <c r="C62" s="117">
        <v>14337</v>
      </c>
      <c r="D62" s="118">
        <v>0.157610012111425</v>
      </c>
      <c r="E62" s="117">
        <v>16623</v>
      </c>
      <c r="F62" s="118">
        <f t="shared" si="8"/>
        <v>0.15944758317639685</v>
      </c>
      <c r="G62" s="117">
        <v>16019</v>
      </c>
      <c r="H62" s="118">
        <f t="shared" si="8"/>
        <v>-3.6335198219334619E-2</v>
      </c>
      <c r="I62" s="117">
        <v>21114</v>
      </c>
      <c r="J62" s="118">
        <f t="shared" si="8"/>
        <v>0.31805980398277045</v>
      </c>
      <c r="K62" s="117"/>
      <c r="L62" s="118"/>
    </row>
    <row r="63" spans="1:13" x14ac:dyDescent="0.25">
      <c r="A63" s="1">
        <v>11</v>
      </c>
      <c r="B63" s="116" t="s">
        <v>96</v>
      </c>
      <c r="C63" s="117">
        <v>14216</v>
      </c>
      <c r="D63" s="118">
        <v>4.9926144756277768E-2</v>
      </c>
      <c r="E63" s="117">
        <v>17852</v>
      </c>
      <c r="F63" s="118">
        <f t="shared" si="8"/>
        <v>0.25576814856499719</v>
      </c>
      <c r="G63" s="117">
        <v>19160</v>
      </c>
      <c r="H63" s="118">
        <f t="shared" si="8"/>
        <v>7.3269101501232337E-2</v>
      </c>
      <c r="I63" s="117">
        <v>16450</v>
      </c>
      <c r="J63" s="118">
        <f t="shared" si="8"/>
        <v>-0.14144050104384132</v>
      </c>
      <c r="K63" s="117"/>
      <c r="L63" s="118"/>
    </row>
    <row r="64" spans="1:13" x14ac:dyDescent="0.25">
      <c r="A64" s="1">
        <v>12</v>
      </c>
      <c r="B64" s="116" t="s">
        <v>98</v>
      </c>
      <c r="C64" s="117">
        <v>10635</v>
      </c>
      <c r="D64" s="118">
        <v>2.5356729656768273E-2</v>
      </c>
      <c r="E64" s="117">
        <v>11703</v>
      </c>
      <c r="F64" s="118">
        <f t="shared" si="8"/>
        <v>0.10042313117066293</v>
      </c>
      <c r="G64" s="117">
        <v>13225</v>
      </c>
      <c r="H64" s="118">
        <f t="shared" si="8"/>
        <v>0.13005212338716565</v>
      </c>
      <c r="I64" s="117">
        <v>11563</v>
      </c>
      <c r="J64" s="118">
        <f t="shared" si="8"/>
        <v>-0.12567107750472595</v>
      </c>
      <c r="K64" s="117"/>
      <c r="L64" s="118"/>
    </row>
    <row r="65" spans="1:13" ht="15.75" x14ac:dyDescent="0.25">
      <c r="B65" s="119" t="s">
        <v>32</v>
      </c>
      <c r="C65" s="120">
        <v>143385</v>
      </c>
      <c r="D65" s="121">
        <v>0.30158312303698187</v>
      </c>
      <c r="E65" s="120">
        <v>181153</v>
      </c>
      <c r="F65" s="121">
        <f t="shared" si="8"/>
        <v>0.26340272692401578</v>
      </c>
      <c r="G65" s="120">
        <v>174555</v>
      </c>
      <c r="H65" s="121">
        <f t="shared" si="8"/>
        <v>-3.6422250804568512E-2</v>
      </c>
      <c r="I65" s="120">
        <v>185532</v>
      </c>
      <c r="J65" s="121">
        <f t="shared" si="8"/>
        <v>6.2885623442467953E-2</v>
      </c>
      <c r="K65" s="120">
        <v>105716</v>
      </c>
      <c r="L65" s="121">
        <v>-9.4449233536973987E-3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68" spans="1:13" x14ac:dyDescent="0.25">
      <c r="C68" s="122"/>
      <c r="I68" s="122"/>
      <c r="L68" s="81"/>
    </row>
    <row r="70" spans="1:13" ht="48.75" customHeight="1" thickBot="1" x14ac:dyDescent="0.3">
      <c r="B70" s="273" t="s">
        <v>284</v>
      </c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2"/>
      <c r="C72" s="298" t="s">
        <v>108</v>
      </c>
      <c r="D72" s="299"/>
      <c r="E72" s="299"/>
      <c r="F72" s="299"/>
      <c r="G72" s="299"/>
      <c r="H72" s="299"/>
      <c r="I72" s="299"/>
      <c r="J72" s="299"/>
      <c r="K72" s="299"/>
      <c r="L72" s="299"/>
    </row>
    <row r="73" spans="1:13" ht="22.5" thickTop="1" thickBot="1" x14ac:dyDescent="0.3">
      <c r="B73" s="112"/>
      <c r="C73" s="303">
        <f>$C$7</f>
        <v>2022</v>
      </c>
      <c r="D73" s="301"/>
      <c r="E73" s="300">
        <f>$E$7</f>
        <v>2023</v>
      </c>
      <c r="F73" s="301"/>
      <c r="G73" s="300">
        <f>$G$7</f>
        <v>2024</v>
      </c>
      <c r="H73" s="301"/>
      <c r="I73" s="300">
        <f>$I$7</f>
        <v>2025</v>
      </c>
      <c r="J73" s="301"/>
      <c r="K73" s="300">
        <f>$K$7</f>
        <v>2026</v>
      </c>
      <c r="L73" s="302"/>
    </row>
    <row r="74" spans="1:13" ht="16.5" thickTop="1" thickBot="1" x14ac:dyDescent="0.3">
      <c r="B74" s="87"/>
      <c r="C74" s="113" t="s">
        <v>74</v>
      </c>
      <c r="D74" s="114" t="str">
        <f>CONCATENATE("var. ",RIGHT(C73,2),"/",RIGHT(C73-1,2))</f>
        <v>var. 22/21</v>
      </c>
      <c r="E74" s="115" t="s">
        <v>74</v>
      </c>
      <c r="F74" s="114" t="s">
        <v>259</v>
      </c>
      <c r="G74" s="115" t="s">
        <v>74</v>
      </c>
      <c r="H74" s="114" t="s">
        <v>259</v>
      </c>
      <c r="I74" s="115" t="s">
        <v>74</v>
      </c>
      <c r="J74" s="114" t="s">
        <v>259</v>
      </c>
      <c r="K74" s="115" t="s">
        <v>74</v>
      </c>
      <c r="L74" s="114" t="s">
        <v>282</v>
      </c>
    </row>
    <row r="75" spans="1:13" x14ac:dyDescent="0.25">
      <c r="A75" s="1">
        <v>1</v>
      </c>
      <c r="B75" s="116" t="s">
        <v>76</v>
      </c>
      <c r="C75" s="117">
        <v>5493</v>
      </c>
      <c r="D75" s="118">
        <v>2.2198124267291912</v>
      </c>
      <c r="E75" s="117">
        <v>9852</v>
      </c>
      <c r="F75" s="118">
        <f>IFERROR(E75/C75-1,"-")</f>
        <v>0.79355543418896768</v>
      </c>
      <c r="G75" s="117">
        <v>9074</v>
      </c>
      <c r="H75" s="118">
        <f>IFERROR(G75/E75-1,"-")</f>
        <v>-7.8968737312220871E-2</v>
      </c>
      <c r="I75" s="117">
        <v>8258</v>
      </c>
      <c r="J75" s="118">
        <f>IFERROR(I75/G75-1,"-")</f>
        <v>-8.9927264712365007E-2</v>
      </c>
      <c r="K75" s="117">
        <v>10644</v>
      </c>
      <c r="L75" s="118">
        <f t="shared" ref="L75:L81" si="9">IFERROR(K75/I75-1,"-")</f>
        <v>0.28893194478081852</v>
      </c>
    </row>
    <row r="76" spans="1:13" x14ac:dyDescent="0.25">
      <c r="A76" s="1">
        <v>2</v>
      </c>
      <c r="B76" s="116" t="s">
        <v>78</v>
      </c>
      <c r="C76" s="117">
        <v>7277</v>
      </c>
      <c r="D76" s="118">
        <v>0.69706156716417911</v>
      </c>
      <c r="E76" s="117">
        <v>9758</v>
      </c>
      <c r="F76" s="118">
        <f t="shared" ref="F76:J87" si="10">IFERROR(E76/C76-1,"-")</f>
        <v>0.34093719939535516</v>
      </c>
      <c r="G76" s="117">
        <v>8762</v>
      </c>
      <c r="H76" s="118">
        <f t="shared" si="10"/>
        <v>-0.10207009633121544</v>
      </c>
      <c r="I76" s="117">
        <v>9663</v>
      </c>
      <c r="J76" s="118">
        <f t="shared" si="10"/>
        <v>0.10283040401734755</v>
      </c>
      <c r="K76" s="117">
        <v>11999</v>
      </c>
      <c r="L76" s="118">
        <f t="shared" si="9"/>
        <v>0.2417468695022249</v>
      </c>
    </row>
    <row r="77" spans="1:13" x14ac:dyDescent="0.25">
      <c r="A77" s="1">
        <v>3</v>
      </c>
      <c r="B77" s="116" t="s">
        <v>80</v>
      </c>
      <c r="C77" s="117">
        <v>9595</v>
      </c>
      <c r="D77" s="118">
        <v>0.50698916287105389</v>
      </c>
      <c r="E77" s="117">
        <v>12059</v>
      </c>
      <c r="F77" s="118">
        <f t="shared" si="10"/>
        <v>0.25680041688379363</v>
      </c>
      <c r="G77" s="117">
        <v>10788</v>
      </c>
      <c r="H77" s="118">
        <f t="shared" si="10"/>
        <v>-0.1053984575835476</v>
      </c>
      <c r="I77" s="117">
        <v>13746</v>
      </c>
      <c r="J77" s="118">
        <f t="shared" si="10"/>
        <v>0.27419354838709675</v>
      </c>
      <c r="K77" s="117">
        <v>12197</v>
      </c>
      <c r="L77" s="118">
        <f t="shared" si="9"/>
        <v>-0.11268732722246466</v>
      </c>
    </row>
    <row r="78" spans="1:13" x14ac:dyDescent="0.25">
      <c r="A78" s="1">
        <v>4</v>
      </c>
      <c r="B78" s="116" t="s">
        <v>82</v>
      </c>
      <c r="C78" s="117">
        <v>11823</v>
      </c>
      <c r="D78" s="118">
        <v>1.2966200466200468</v>
      </c>
      <c r="E78" s="117">
        <v>10761</v>
      </c>
      <c r="F78" s="118">
        <f t="shared" si="10"/>
        <v>-8.9824917533620874E-2</v>
      </c>
      <c r="G78" s="117">
        <v>9063</v>
      </c>
      <c r="H78" s="118">
        <f t="shared" si="10"/>
        <v>-0.15779202676331194</v>
      </c>
      <c r="I78" s="117">
        <v>12079</v>
      </c>
      <c r="J78" s="118">
        <f t="shared" si="10"/>
        <v>0.33278163963367535</v>
      </c>
      <c r="K78" s="117">
        <v>13171</v>
      </c>
      <c r="L78" s="118">
        <f t="shared" si="9"/>
        <v>9.040483483732098E-2</v>
      </c>
    </row>
    <row r="79" spans="1:13" x14ac:dyDescent="0.25">
      <c r="A79" s="1">
        <v>5</v>
      </c>
      <c r="B79" s="116" t="s">
        <v>84</v>
      </c>
      <c r="C79" s="117">
        <v>11828</v>
      </c>
      <c r="D79" s="118">
        <v>0.53034027687928575</v>
      </c>
      <c r="E79" s="117">
        <v>11521</v>
      </c>
      <c r="F79" s="118">
        <f t="shared" si="10"/>
        <v>-2.5955360162326691E-2</v>
      </c>
      <c r="G79" s="117">
        <v>9774</v>
      </c>
      <c r="H79" s="118">
        <f t="shared" si="10"/>
        <v>-0.1516361426959465</v>
      </c>
      <c r="I79" s="117">
        <v>15075</v>
      </c>
      <c r="J79" s="118">
        <f t="shared" si="10"/>
        <v>0.5423572744014733</v>
      </c>
      <c r="K79" s="117">
        <v>13988</v>
      </c>
      <c r="L79" s="118">
        <f t="shared" si="9"/>
        <v>-7.2106135986732989E-2</v>
      </c>
    </row>
    <row r="80" spans="1:13" x14ac:dyDescent="0.25">
      <c r="A80" s="1">
        <v>6</v>
      </c>
      <c r="B80" s="116" t="s">
        <v>86</v>
      </c>
      <c r="C80" s="117">
        <v>12260</v>
      </c>
      <c r="D80" s="118">
        <v>0.27588718909355814</v>
      </c>
      <c r="E80" s="117">
        <v>11203</v>
      </c>
      <c r="F80" s="118">
        <f t="shared" si="10"/>
        <v>-8.6215334420880918E-2</v>
      </c>
      <c r="G80" s="117">
        <v>12643</v>
      </c>
      <c r="H80" s="118">
        <f t="shared" si="10"/>
        <v>0.12853699901812021</v>
      </c>
      <c r="I80" s="117">
        <v>15227</v>
      </c>
      <c r="J80" s="118">
        <f t="shared" si="10"/>
        <v>0.20438187139128372</v>
      </c>
      <c r="K80" s="117">
        <v>13600</v>
      </c>
      <c r="L80" s="118">
        <f t="shared" si="9"/>
        <v>-0.10684967491955077</v>
      </c>
    </row>
    <row r="81" spans="1:13" x14ac:dyDescent="0.25">
      <c r="A81" s="1">
        <v>7</v>
      </c>
      <c r="B81" s="116" t="s">
        <v>88</v>
      </c>
      <c r="C81" s="117">
        <v>13253</v>
      </c>
      <c r="D81" s="118">
        <v>0.52491082729260152</v>
      </c>
      <c r="E81" s="117">
        <v>9828</v>
      </c>
      <c r="F81" s="118">
        <f t="shared" si="10"/>
        <v>-0.25843205312004824</v>
      </c>
      <c r="G81" s="117">
        <v>17033</v>
      </c>
      <c r="H81" s="118">
        <f t="shared" si="10"/>
        <v>0.7331094831094831</v>
      </c>
      <c r="I81" s="117">
        <v>18427</v>
      </c>
      <c r="J81" s="118">
        <f t="shared" si="10"/>
        <v>8.1841131920389776E-2</v>
      </c>
      <c r="K81" s="117">
        <v>19710</v>
      </c>
      <c r="L81" s="118">
        <f t="shared" si="9"/>
        <v>6.9626092147392349E-2</v>
      </c>
    </row>
    <row r="82" spans="1:13" x14ac:dyDescent="0.25">
      <c r="A82" s="1">
        <v>8</v>
      </c>
      <c r="B82" s="116" t="s">
        <v>90</v>
      </c>
      <c r="C82" s="117">
        <v>11778</v>
      </c>
      <c r="D82" s="118">
        <v>0.22153080273802117</v>
      </c>
      <c r="E82" s="117">
        <v>8620</v>
      </c>
      <c r="F82" s="118">
        <f t="shared" si="10"/>
        <v>-0.26812701647138737</v>
      </c>
      <c r="G82" s="117">
        <v>11993</v>
      </c>
      <c r="H82" s="118">
        <f t="shared" si="10"/>
        <v>0.39129930394431556</v>
      </c>
      <c r="I82" s="117">
        <v>14272</v>
      </c>
      <c r="J82" s="118">
        <f t="shared" si="10"/>
        <v>0.19002751605102985</v>
      </c>
      <c r="K82" s="117"/>
      <c r="L82" s="118"/>
    </row>
    <row r="83" spans="1:13" x14ac:dyDescent="0.25">
      <c r="A83" s="1">
        <v>9</v>
      </c>
      <c r="B83" s="116" t="s">
        <v>92</v>
      </c>
      <c r="C83" s="117">
        <v>11498</v>
      </c>
      <c r="D83" s="118">
        <v>0.17734998976039318</v>
      </c>
      <c r="E83" s="117">
        <v>7357</v>
      </c>
      <c r="F83" s="118">
        <f t="shared" si="10"/>
        <v>-0.36014959123325796</v>
      </c>
      <c r="G83" s="117">
        <v>13491</v>
      </c>
      <c r="H83" s="118">
        <f t="shared" si="10"/>
        <v>0.83376376240315353</v>
      </c>
      <c r="I83" s="117">
        <v>13529</v>
      </c>
      <c r="J83" s="118">
        <f t="shared" si="10"/>
        <v>2.8166926098880385E-3</v>
      </c>
      <c r="K83" s="117"/>
      <c r="L83" s="118"/>
    </row>
    <row r="84" spans="1:13" x14ac:dyDescent="0.25">
      <c r="A84" s="1">
        <v>10</v>
      </c>
      <c r="B84" s="116" t="s">
        <v>94</v>
      </c>
      <c r="C84" s="117">
        <v>11877</v>
      </c>
      <c r="D84" s="118">
        <v>2.1325995356436422E-2</v>
      </c>
      <c r="E84" s="117">
        <v>11841</v>
      </c>
      <c r="F84" s="118">
        <f t="shared" si="10"/>
        <v>-3.0310684516291486E-3</v>
      </c>
      <c r="G84" s="117">
        <v>8327</v>
      </c>
      <c r="H84" s="118">
        <f t="shared" si="10"/>
        <v>-0.29676547588886071</v>
      </c>
      <c r="I84" s="117">
        <v>13641</v>
      </c>
      <c r="J84" s="118">
        <f t="shared" si="10"/>
        <v>0.63816500540410703</v>
      </c>
      <c r="K84" s="117"/>
      <c r="L84" s="118"/>
    </row>
    <row r="85" spans="1:13" x14ac:dyDescent="0.25">
      <c r="A85" s="1">
        <v>11</v>
      </c>
      <c r="B85" s="116" t="s">
        <v>96</v>
      </c>
      <c r="C85" s="117">
        <v>11650</v>
      </c>
      <c r="D85" s="118">
        <v>6.6459172464298888E-2</v>
      </c>
      <c r="E85" s="117">
        <v>8893</v>
      </c>
      <c r="F85" s="118">
        <f t="shared" si="10"/>
        <v>-0.23665236051502148</v>
      </c>
      <c r="G85" s="117">
        <v>9954</v>
      </c>
      <c r="H85" s="118">
        <f t="shared" si="10"/>
        <v>0.11930732036433156</v>
      </c>
      <c r="I85" s="117">
        <v>11399</v>
      </c>
      <c r="J85" s="118">
        <f t="shared" si="10"/>
        <v>0.14516777175005013</v>
      </c>
      <c r="K85" s="117"/>
      <c r="L85" s="118"/>
    </row>
    <row r="86" spans="1:13" x14ac:dyDescent="0.25">
      <c r="A86" s="1">
        <v>12</v>
      </c>
      <c r="B86" s="116" t="s">
        <v>98</v>
      </c>
      <c r="C86" s="117">
        <v>10227</v>
      </c>
      <c r="D86" s="118">
        <v>-6.7730173199635368E-2</v>
      </c>
      <c r="E86" s="117">
        <v>10477</v>
      </c>
      <c r="F86" s="118">
        <f t="shared" si="10"/>
        <v>2.4445096313679526E-2</v>
      </c>
      <c r="G86" s="117">
        <v>11822</v>
      </c>
      <c r="H86" s="118">
        <f t="shared" si="10"/>
        <v>0.12837644363844603</v>
      </c>
      <c r="I86" s="117">
        <v>12721</v>
      </c>
      <c r="J86" s="118">
        <f t="shared" si="10"/>
        <v>7.6044662493655935E-2</v>
      </c>
      <c r="K86" s="117"/>
      <c r="L86" s="118"/>
    </row>
    <row r="87" spans="1:13" ht="15.75" x14ac:dyDescent="0.25">
      <c r="B87" s="119" t="s">
        <v>32</v>
      </c>
      <c r="C87" s="120">
        <v>128559</v>
      </c>
      <c r="D87" s="121">
        <v>0.33264572038686002</v>
      </c>
      <c r="E87" s="120">
        <v>122170</v>
      </c>
      <c r="F87" s="121">
        <f t="shared" si="10"/>
        <v>-4.9697026268094802E-2</v>
      </c>
      <c r="G87" s="120">
        <v>132724</v>
      </c>
      <c r="H87" s="121">
        <f t="shared" si="10"/>
        <v>8.6387820250470648E-2</v>
      </c>
      <c r="I87" s="120">
        <v>158037</v>
      </c>
      <c r="J87" s="121">
        <f t="shared" si="10"/>
        <v>0.19071908622404399</v>
      </c>
      <c r="K87" s="120">
        <v>95309</v>
      </c>
      <c r="L87" s="121">
        <v>3.0646120573127877E-2</v>
      </c>
    </row>
    <row r="88" spans="1:13" ht="6" customHeight="1" x14ac:dyDescent="0.25"/>
    <row r="89" spans="1:13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0" spans="1:13" x14ac:dyDescent="0.25">
      <c r="C90" s="122"/>
      <c r="I90" s="122"/>
      <c r="L90" s="81"/>
    </row>
    <row r="92" spans="1:13" ht="48.75" customHeight="1" thickBot="1" x14ac:dyDescent="0.3">
      <c r="B92" s="273" t="s">
        <v>285</v>
      </c>
      <c r="C92" s="273"/>
      <c r="D92" s="273"/>
      <c r="E92" s="273"/>
      <c r="F92" s="273"/>
      <c r="G92" s="273"/>
      <c r="H92" s="273"/>
      <c r="I92" s="273"/>
      <c r="J92" s="273"/>
      <c r="K92" s="273"/>
      <c r="L92" s="273"/>
      <c r="M92" s="1" t="s">
        <v>109</v>
      </c>
    </row>
    <row r="93" spans="1:13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M93" s="1" t="s">
        <v>110</v>
      </c>
    </row>
    <row r="94" spans="1:13" ht="22.5" thickTop="1" thickBot="1" x14ac:dyDescent="0.3">
      <c r="B94" s="123" t="s">
        <v>111</v>
      </c>
      <c r="C94" s="298" t="s">
        <v>112</v>
      </c>
      <c r="D94" s="299"/>
      <c r="E94" s="299"/>
      <c r="F94" s="299"/>
      <c r="G94" s="299"/>
      <c r="H94" s="299"/>
      <c r="I94" s="299"/>
      <c r="J94" s="299"/>
      <c r="K94" s="299"/>
      <c r="L94" s="299"/>
    </row>
    <row r="95" spans="1:13" ht="22.5" thickTop="1" thickBot="1" x14ac:dyDescent="0.3">
      <c r="B95" s="112"/>
      <c r="C95" s="303">
        <f>$C$7</f>
        <v>2022</v>
      </c>
      <c r="D95" s="301"/>
      <c r="E95" s="300">
        <f>$E$7</f>
        <v>2023</v>
      </c>
      <c r="F95" s="301"/>
      <c r="G95" s="300">
        <f>$G$7</f>
        <v>2024</v>
      </c>
      <c r="H95" s="301"/>
      <c r="I95" s="300">
        <f>$I$7</f>
        <v>2025</v>
      </c>
      <c r="J95" s="301"/>
      <c r="K95" s="300">
        <f>$K$7</f>
        <v>2026</v>
      </c>
      <c r="L95" s="302"/>
    </row>
    <row r="96" spans="1:13" ht="16.5" thickTop="1" thickBot="1" x14ac:dyDescent="0.3">
      <c r="B96" s="87"/>
      <c r="C96" s="113" t="s">
        <v>74</v>
      </c>
      <c r="D96" s="114" t="str">
        <f>CONCATENATE("var. ",RIGHT(C95,2),"/",RIGHT(C95-1,2))</f>
        <v>var. 22/21</v>
      </c>
      <c r="E96" s="115" t="s">
        <v>74</v>
      </c>
      <c r="F96" s="114" t="s">
        <v>259</v>
      </c>
      <c r="G96" s="115" t="s">
        <v>74</v>
      </c>
      <c r="H96" s="114" t="s">
        <v>259</v>
      </c>
      <c r="I96" s="115" t="s">
        <v>74</v>
      </c>
      <c r="J96" s="114" t="s">
        <v>259</v>
      </c>
      <c r="K96" s="115" t="s">
        <v>74</v>
      </c>
      <c r="L96" s="114" t="s">
        <v>282</v>
      </c>
    </row>
    <row r="97" spans="2:12" x14ac:dyDescent="0.25">
      <c r="B97" s="116" t="s">
        <v>76</v>
      </c>
      <c r="C97" s="117">
        <v>25050</v>
      </c>
      <c r="D97" s="118">
        <v>4.6406214816482771</v>
      </c>
      <c r="E97" s="117">
        <v>37942</v>
      </c>
      <c r="F97" s="118">
        <f t="shared" ref="F97:J109" si="11">IFERROR(E97/C97-1,"-")</f>
        <v>0.51465069860279433</v>
      </c>
      <c r="G97" s="117">
        <v>37680</v>
      </c>
      <c r="H97" s="118">
        <f t="shared" si="11"/>
        <v>-6.9052764746191375E-3</v>
      </c>
      <c r="I97" s="117">
        <v>33957</v>
      </c>
      <c r="J97" s="118">
        <f t="shared" si="11"/>
        <v>-9.8805732484076425E-2</v>
      </c>
      <c r="K97" s="117">
        <v>36500</v>
      </c>
      <c r="L97" s="118">
        <f t="shared" ref="L97:L103" si="12">IFERROR(K97/I97-1,"-")</f>
        <v>7.4888829990870764E-2</v>
      </c>
    </row>
    <row r="98" spans="2:12" x14ac:dyDescent="0.25">
      <c r="B98" s="116" t="s">
        <v>78</v>
      </c>
      <c r="C98" s="117">
        <v>23883</v>
      </c>
      <c r="D98" s="118">
        <v>3.1449149600833044</v>
      </c>
      <c r="E98" s="117">
        <v>28543</v>
      </c>
      <c r="F98" s="118">
        <f t="shared" si="11"/>
        <v>0.19511786626470706</v>
      </c>
      <c r="G98" s="117">
        <v>31515</v>
      </c>
      <c r="H98" s="118">
        <f t="shared" si="11"/>
        <v>0.10412360298497014</v>
      </c>
      <c r="I98" s="117">
        <v>28806</v>
      </c>
      <c r="J98" s="118">
        <f t="shared" si="11"/>
        <v>-8.5959067110899623E-2</v>
      </c>
      <c r="K98" s="117">
        <v>30626</v>
      </c>
      <c r="L98" s="118">
        <f t="shared" si="12"/>
        <v>6.3181281677428203E-2</v>
      </c>
    </row>
    <row r="99" spans="2:12" x14ac:dyDescent="0.25">
      <c r="B99" s="116" t="s">
        <v>80</v>
      </c>
      <c r="C99" s="117">
        <v>24877</v>
      </c>
      <c r="D99" s="118">
        <v>1.4777888446215139</v>
      </c>
      <c r="E99" s="117">
        <v>28208</v>
      </c>
      <c r="F99" s="118">
        <f t="shared" si="11"/>
        <v>0.13389878200747685</v>
      </c>
      <c r="G99" s="117">
        <v>32985</v>
      </c>
      <c r="H99" s="118">
        <f t="shared" si="11"/>
        <v>0.16934912081678966</v>
      </c>
      <c r="I99" s="117">
        <v>25810</v>
      </c>
      <c r="J99" s="118">
        <f t="shared" si="11"/>
        <v>-0.21752311656813705</v>
      </c>
      <c r="K99" s="117">
        <v>30033</v>
      </c>
      <c r="L99" s="118">
        <f t="shared" si="12"/>
        <v>0.163618752421542</v>
      </c>
    </row>
    <row r="100" spans="2:12" x14ac:dyDescent="0.25">
      <c r="B100" s="116" t="s">
        <v>82</v>
      </c>
      <c r="C100" s="117">
        <v>21470</v>
      </c>
      <c r="D100" s="118">
        <v>1.6814037716997627</v>
      </c>
      <c r="E100" s="117">
        <v>17602</v>
      </c>
      <c r="F100" s="118">
        <f t="shared" si="11"/>
        <v>-0.18015836050302747</v>
      </c>
      <c r="G100" s="117">
        <v>23357</v>
      </c>
      <c r="H100" s="118">
        <f t="shared" si="11"/>
        <v>0.32695148278604713</v>
      </c>
      <c r="I100" s="117">
        <v>20287</v>
      </c>
      <c r="J100" s="118">
        <f t="shared" si="11"/>
        <v>-0.13143811277133188</v>
      </c>
      <c r="K100" s="117">
        <v>22428</v>
      </c>
      <c r="L100" s="118">
        <f t="shared" si="12"/>
        <v>0.10553556464731106</v>
      </c>
    </row>
    <row r="101" spans="2:12" x14ac:dyDescent="0.25">
      <c r="B101" s="116" t="s">
        <v>84</v>
      </c>
      <c r="C101" s="117">
        <v>18584</v>
      </c>
      <c r="D101" s="118">
        <v>1.1412605138840881</v>
      </c>
      <c r="E101" s="117">
        <v>14402</v>
      </c>
      <c r="F101" s="118">
        <f t="shared" si="11"/>
        <v>-0.22503228583727941</v>
      </c>
      <c r="G101" s="117">
        <v>13575</v>
      </c>
      <c r="H101" s="118">
        <f t="shared" si="11"/>
        <v>-5.7422580197194817E-2</v>
      </c>
      <c r="I101" s="117">
        <v>14771</v>
      </c>
      <c r="J101" s="118">
        <f t="shared" si="11"/>
        <v>8.8103130755064374E-2</v>
      </c>
      <c r="K101" s="117">
        <v>15718</v>
      </c>
      <c r="L101" s="118">
        <f t="shared" si="12"/>
        <v>6.41121115699681E-2</v>
      </c>
    </row>
    <row r="102" spans="2:12" x14ac:dyDescent="0.25">
      <c r="B102" s="116" t="s">
        <v>86</v>
      </c>
      <c r="C102" s="117">
        <v>16166</v>
      </c>
      <c r="D102" s="118">
        <v>0.93651173933876386</v>
      </c>
      <c r="E102" s="117">
        <v>12768</v>
      </c>
      <c r="F102" s="118">
        <f t="shared" si="11"/>
        <v>-0.21019423481380672</v>
      </c>
      <c r="G102" s="117">
        <v>11859</v>
      </c>
      <c r="H102" s="118">
        <f t="shared" si="11"/>
        <v>-7.1193609022556337E-2</v>
      </c>
      <c r="I102" s="117">
        <v>11347</v>
      </c>
      <c r="J102" s="118">
        <f t="shared" si="11"/>
        <v>-4.3173960704949832E-2</v>
      </c>
      <c r="K102" s="117">
        <v>11036</v>
      </c>
      <c r="L102" s="118">
        <f t="shared" si="12"/>
        <v>-2.7408125495725688E-2</v>
      </c>
    </row>
    <row r="103" spans="2:12" x14ac:dyDescent="0.25">
      <c r="B103" s="116" t="s">
        <v>88</v>
      </c>
      <c r="C103" s="117">
        <v>17702</v>
      </c>
      <c r="D103" s="118">
        <v>0.65795635478130565</v>
      </c>
      <c r="E103" s="117">
        <v>15735</v>
      </c>
      <c r="F103" s="118">
        <f t="shared" si="11"/>
        <v>-0.11111738786577785</v>
      </c>
      <c r="G103" s="117">
        <v>15153</v>
      </c>
      <c r="H103" s="118">
        <f t="shared" si="11"/>
        <v>-3.698760724499528E-2</v>
      </c>
      <c r="I103" s="117">
        <v>17329</v>
      </c>
      <c r="J103" s="118">
        <f t="shared" si="11"/>
        <v>0.14360192701115282</v>
      </c>
      <c r="K103" s="117">
        <v>15553</v>
      </c>
      <c r="L103" s="118">
        <f t="shared" si="12"/>
        <v>-0.10248716025160132</v>
      </c>
    </row>
    <row r="104" spans="2:12" x14ac:dyDescent="0.25">
      <c r="B104" s="116" t="s">
        <v>90</v>
      </c>
      <c r="C104" s="117">
        <v>20739</v>
      </c>
      <c r="D104" s="118">
        <v>0.47158163627332716</v>
      </c>
      <c r="E104" s="117">
        <v>21205</v>
      </c>
      <c r="F104" s="118">
        <f t="shared" si="11"/>
        <v>2.2469742996287234E-2</v>
      </c>
      <c r="G104" s="117">
        <v>20897</v>
      </c>
      <c r="H104" s="118">
        <f t="shared" si="11"/>
        <v>-1.4524876208441451E-2</v>
      </c>
      <c r="I104" s="117">
        <v>21870</v>
      </c>
      <c r="J104" s="118">
        <f t="shared" si="11"/>
        <v>4.656170742211807E-2</v>
      </c>
      <c r="K104" s="117"/>
      <c r="L104" s="118"/>
    </row>
    <row r="105" spans="2:12" x14ac:dyDescent="0.25">
      <c r="B105" s="116" t="s">
        <v>92</v>
      </c>
      <c r="C105" s="117">
        <v>17676</v>
      </c>
      <c r="D105" s="118">
        <v>0.29636963696369634</v>
      </c>
      <c r="E105" s="117">
        <v>17064</v>
      </c>
      <c r="F105" s="118">
        <f t="shared" si="11"/>
        <v>-3.4623217922606919E-2</v>
      </c>
      <c r="G105" s="117">
        <v>16062</v>
      </c>
      <c r="H105" s="118">
        <f t="shared" si="11"/>
        <v>-5.8720112517580914E-2</v>
      </c>
      <c r="I105" s="117">
        <v>17545</v>
      </c>
      <c r="J105" s="118">
        <f t="shared" si="11"/>
        <v>9.2329722325986907E-2</v>
      </c>
      <c r="K105" s="117"/>
      <c r="L105" s="118"/>
    </row>
    <row r="106" spans="2:12" x14ac:dyDescent="0.25">
      <c r="B106" s="116" t="s">
        <v>94</v>
      </c>
      <c r="C106" s="117">
        <v>22032</v>
      </c>
      <c r="D106" s="118">
        <v>0.17372542752117637</v>
      </c>
      <c r="E106" s="117">
        <v>20857</v>
      </c>
      <c r="F106" s="118">
        <f t="shared" si="11"/>
        <v>-5.3331517792302052E-2</v>
      </c>
      <c r="G106" s="117">
        <v>18778</v>
      </c>
      <c r="H106" s="118">
        <f t="shared" si="11"/>
        <v>-9.9678764923047392E-2</v>
      </c>
      <c r="I106" s="117">
        <v>20755</v>
      </c>
      <c r="J106" s="118">
        <f t="shared" si="11"/>
        <v>0.10528277771860695</v>
      </c>
      <c r="K106" s="117"/>
      <c r="L106" s="118"/>
    </row>
    <row r="107" spans="2:12" x14ac:dyDescent="0.25">
      <c r="B107" s="116" t="s">
        <v>96</v>
      </c>
      <c r="C107" s="117">
        <v>30180</v>
      </c>
      <c r="D107" s="118">
        <v>0.22275342354752459</v>
      </c>
      <c r="E107" s="117">
        <v>29246</v>
      </c>
      <c r="F107" s="118">
        <f t="shared" si="11"/>
        <v>-3.0947647448641535E-2</v>
      </c>
      <c r="G107" s="117">
        <v>24055</v>
      </c>
      <c r="H107" s="118">
        <f t="shared" si="11"/>
        <v>-0.1774943582028311</v>
      </c>
      <c r="I107" s="117">
        <v>28763</v>
      </c>
      <c r="J107" s="118">
        <f t="shared" si="11"/>
        <v>0.1957181459156101</v>
      </c>
      <c r="K107" s="117"/>
      <c r="L107" s="118"/>
    </row>
    <row r="108" spans="2:12" x14ac:dyDescent="0.25">
      <c r="B108" s="116" t="s">
        <v>98</v>
      </c>
      <c r="C108" s="117">
        <v>33196</v>
      </c>
      <c r="D108" s="118">
        <v>0.30677479037908917</v>
      </c>
      <c r="E108" s="117">
        <v>30946</v>
      </c>
      <c r="F108" s="118">
        <f t="shared" si="11"/>
        <v>-6.7779250512109868E-2</v>
      </c>
      <c r="G108" s="117">
        <v>30168</v>
      </c>
      <c r="H108" s="118">
        <f t="shared" si="11"/>
        <v>-2.5140567440056882E-2</v>
      </c>
      <c r="I108" s="117">
        <v>30661</v>
      </c>
      <c r="J108" s="118">
        <f t="shared" si="11"/>
        <v>1.63418191461151E-2</v>
      </c>
      <c r="K108" s="117"/>
      <c r="L108" s="118"/>
    </row>
    <row r="109" spans="2:12" ht="15.75" x14ac:dyDescent="0.25">
      <c r="B109" s="119" t="s">
        <v>32</v>
      </c>
      <c r="C109" s="120">
        <v>271555</v>
      </c>
      <c r="D109" s="121">
        <v>0.78024492257666944</v>
      </c>
      <c r="E109" s="120">
        <v>274518</v>
      </c>
      <c r="F109" s="121">
        <f t="shared" si="11"/>
        <v>1.0911233451786906E-2</v>
      </c>
      <c r="G109" s="120">
        <v>276084</v>
      </c>
      <c r="H109" s="121">
        <f t="shared" si="11"/>
        <v>5.7045439643301776E-3</v>
      </c>
      <c r="I109" s="120">
        <v>271901</v>
      </c>
      <c r="J109" s="121">
        <f t="shared" si="11"/>
        <v>-1.5151185870966755E-2</v>
      </c>
      <c r="K109" s="120">
        <v>161894</v>
      </c>
      <c r="L109" s="121">
        <v>6.2945235609656702E-2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2" spans="2:12" x14ac:dyDescent="0.25">
      <c r="C112" s="122"/>
      <c r="I112" s="122"/>
      <c r="L112" s="81"/>
    </row>
    <row r="114" spans="1:13" ht="48.75" customHeight="1" thickBot="1" x14ac:dyDescent="0.3">
      <c r="B114" s="273" t="s">
        <v>286</v>
      </c>
      <c r="C114" s="273"/>
      <c r="D114" s="273"/>
      <c r="E114" s="273"/>
      <c r="F114" s="273"/>
      <c r="G114" s="273"/>
      <c r="H114" s="273"/>
      <c r="I114" s="273"/>
      <c r="J114" s="273"/>
      <c r="K114" s="273"/>
      <c r="L114" s="273"/>
      <c r="M114" s="1" t="s">
        <v>113</v>
      </c>
    </row>
    <row r="115" spans="1:13" ht="10.5" customHeight="1" thickBot="1" x14ac:dyDescent="0.3">
      <c r="B115" s="109"/>
      <c r="C115" s="110"/>
      <c r="D115" s="109"/>
      <c r="E115" s="109"/>
      <c r="F115" s="109"/>
      <c r="G115" s="109"/>
      <c r="H115" s="109"/>
      <c r="I115" s="109"/>
      <c r="J115" s="109"/>
      <c r="K115" s="4"/>
      <c r="L115" s="4"/>
      <c r="M115" s="1" t="s">
        <v>114</v>
      </c>
    </row>
    <row r="116" spans="1:13" ht="22.5" thickTop="1" thickBot="1" x14ac:dyDescent="0.3">
      <c r="B116" s="123" t="str">
        <f>C116</f>
        <v>Reino Unido</v>
      </c>
      <c r="C116" s="298" t="s">
        <v>115</v>
      </c>
      <c r="D116" s="299"/>
      <c r="E116" s="299"/>
      <c r="F116" s="299"/>
      <c r="G116" s="299"/>
      <c r="H116" s="299"/>
      <c r="I116" s="299"/>
      <c r="J116" s="299"/>
      <c r="K116" s="299"/>
      <c r="L116" s="299"/>
    </row>
    <row r="117" spans="1:13" ht="22.5" thickTop="1" thickBot="1" x14ac:dyDescent="0.3">
      <c r="B117" s="112"/>
      <c r="C117" s="303">
        <f>$C$7</f>
        <v>2022</v>
      </c>
      <c r="D117" s="301"/>
      <c r="E117" s="300">
        <f>$E$7</f>
        <v>2023</v>
      </c>
      <c r="F117" s="301"/>
      <c r="G117" s="300">
        <f>$G$7</f>
        <v>2024</v>
      </c>
      <c r="H117" s="301"/>
      <c r="I117" s="300">
        <f>$I$7</f>
        <v>2025</v>
      </c>
      <c r="J117" s="301"/>
      <c r="K117" s="300">
        <f>$K$7</f>
        <v>2026</v>
      </c>
      <c r="L117" s="302"/>
    </row>
    <row r="118" spans="1:13" ht="16.5" thickTop="1" thickBot="1" x14ac:dyDescent="0.3">
      <c r="B118" s="87"/>
      <c r="C118" s="113" t="s">
        <v>74</v>
      </c>
      <c r="D118" s="114" t="str">
        <f>CONCATENATE("var. ",RIGHT(C117,2),"/",RIGHT(C117-1,2))</f>
        <v>var. 22/21</v>
      </c>
      <c r="E118" s="115" t="s">
        <v>74</v>
      </c>
      <c r="F118" s="114" t="s">
        <v>259</v>
      </c>
      <c r="G118" s="115" t="s">
        <v>74</v>
      </c>
      <c r="H118" s="114" t="s">
        <v>259</v>
      </c>
      <c r="I118" s="115" t="s">
        <v>74</v>
      </c>
      <c r="J118" s="114" t="s">
        <v>259</v>
      </c>
      <c r="K118" s="115" t="s">
        <v>74</v>
      </c>
      <c r="L118" s="114" t="s">
        <v>282</v>
      </c>
    </row>
    <row r="119" spans="1:13" x14ac:dyDescent="0.25">
      <c r="B119" s="116" t="s">
        <v>76</v>
      </c>
      <c r="C119" s="117">
        <v>3433</v>
      </c>
      <c r="D119" s="118">
        <v>31.695238095238096</v>
      </c>
      <c r="E119" s="117">
        <v>5079</v>
      </c>
      <c r="F119" s="118">
        <f t="shared" ref="F119:J131" si="13">IFERROR(E119/C119-1,"-")</f>
        <v>0.47946402563355672</v>
      </c>
      <c r="G119" s="117">
        <v>5783</v>
      </c>
      <c r="H119" s="118">
        <f t="shared" si="13"/>
        <v>0.13860996259106129</v>
      </c>
      <c r="I119" s="117">
        <v>5027</v>
      </c>
      <c r="J119" s="118">
        <f t="shared" si="13"/>
        <v>-0.13072799584990491</v>
      </c>
      <c r="K119" s="117">
        <v>5155</v>
      </c>
      <c r="L119" s="118">
        <f t="shared" ref="L119:L125" si="14">IFERROR(K119/I119-1,"-")</f>
        <v>2.5462502486572447E-2</v>
      </c>
    </row>
    <row r="120" spans="1:13" x14ac:dyDescent="0.25">
      <c r="B120" s="116" t="s">
        <v>78</v>
      </c>
      <c r="C120" s="117">
        <v>3574</v>
      </c>
      <c r="D120" s="118">
        <v>21.477987421383649</v>
      </c>
      <c r="E120" s="117">
        <v>3403</v>
      </c>
      <c r="F120" s="118">
        <f t="shared" si="13"/>
        <v>-4.7845551203133718E-2</v>
      </c>
      <c r="G120" s="117">
        <v>4850</v>
      </c>
      <c r="H120" s="118">
        <f t="shared" si="13"/>
        <v>0.42521304731119591</v>
      </c>
      <c r="I120" s="117">
        <v>3993</v>
      </c>
      <c r="J120" s="118">
        <f t="shared" si="13"/>
        <v>-0.17670103092783507</v>
      </c>
      <c r="K120" s="117">
        <v>3705</v>
      </c>
      <c r="L120" s="118">
        <f t="shared" si="14"/>
        <v>-7.2126220886551518E-2</v>
      </c>
    </row>
    <row r="121" spans="1:13" x14ac:dyDescent="0.25">
      <c r="B121" s="116" t="s">
        <v>80</v>
      </c>
      <c r="C121" s="117">
        <v>3753</v>
      </c>
      <c r="D121" s="118">
        <v>5.0240770465489568</v>
      </c>
      <c r="E121" s="117">
        <v>3286</v>
      </c>
      <c r="F121" s="118">
        <f t="shared" si="13"/>
        <v>-0.12443378630428992</v>
      </c>
      <c r="G121" s="117">
        <v>4425</v>
      </c>
      <c r="H121" s="118">
        <f t="shared" si="13"/>
        <v>0.34662203286670734</v>
      </c>
      <c r="I121" s="117">
        <v>2634</v>
      </c>
      <c r="J121" s="118">
        <f t="shared" si="13"/>
        <v>-0.40474576271186435</v>
      </c>
      <c r="K121" s="117">
        <v>3012</v>
      </c>
      <c r="L121" s="118">
        <f t="shared" si="14"/>
        <v>0.14350797266514803</v>
      </c>
    </row>
    <row r="122" spans="1:13" x14ac:dyDescent="0.25">
      <c r="B122" s="116" t="s">
        <v>82</v>
      </c>
      <c r="C122" s="117">
        <v>2500</v>
      </c>
      <c r="D122" s="118">
        <v>8.8039215686274517</v>
      </c>
      <c r="E122" s="117">
        <v>2023</v>
      </c>
      <c r="F122" s="118">
        <f t="shared" si="13"/>
        <v>-0.19079999999999997</v>
      </c>
      <c r="G122" s="117">
        <v>3860</v>
      </c>
      <c r="H122" s="118">
        <f t="shared" si="13"/>
        <v>0.90805734058329213</v>
      </c>
      <c r="I122" s="117">
        <v>2256</v>
      </c>
      <c r="J122" s="118">
        <f t="shared" si="13"/>
        <v>-0.41554404145077717</v>
      </c>
      <c r="K122" s="117">
        <v>1895</v>
      </c>
      <c r="L122" s="118">
        <f t="shared" si="14"/>
        <v>-0.16001773049645385</v>
      </c>
    </row>
    <row r="123" spans="1:13" x14ac:dyDescent="0.25">
      <c r="B123" s="116" t="s">
        <v>84</v>
      </c>
      <c r="C123" s="117">
        <v>1644</v>
      </c>
      <c r="D123" s="118">
        <v>3.6704545454545459</v>
      </c>
      <c r="E123" s="117">
        <v>1553</v>
      </c>
      <c r="F123" s="118">
        <f t="shared" si="13"/>
        <v>-5.5352798053527996E-2</v>
      </c>
      <c r="G123" s="117">
        <v>1323</v>
      </c>
      <c r="H123" s="118">
        <f t="shared" si="13"/>
        <v>-0.14810045074050227</v>
      </c>
      <c r="I123" s="117">
        <v>1409</v>
      </c>
      <c r="J123" s="118">
        <f t="shared" si="13"/>
        <v>6.5003779289493524E-2</v>
      </c>
      <c r="K123" s="117">
        <v>1591</v>
      </c>
      <c r="L123" s="118">
        <f t="shared" si="14"/>
        <v>0.12916962384669972</v>
      </c>
    </row>
    <row r="124" spans="1:13" x14ac:dyDescent="0.25">
      <c r="B124" s="116" t="s">
        <v>86</v>
      </c>
      <c r="C124" s="117">
        <v>2004</v>
      </c>
      <c r="D124" s="118">
        <v>4.5206611570247937</v>
      </c>
      <c r="E124" s="117">
        <v>1777</v>
      </c>
      <c r="F124" s="118">
        <f t="shared" si="13"/>
        <v>-0.11327345309381243</v>
      </c>
      <c r="G124" s="117">
        <v>1481</v>
      </c>
      <c r="H124" s="118">
        <f t="shared" si="13"/>
        <v>-0.16657287563308942</v>
      </c>
      <c r="I124" s="117">
        <v>1064</v>
      </c>
      <c r="J124" s="118">
        <f t="shared" si="13"/>
        <v>-0.28156650911546255</v>
      </c>
      <c r="K124" s="117">
        <v>1062</v>
      </c>
      <c r="L124" s="118">
        <f t="shared" si="14"/>
        <v>-1.879699248120259E-3</v>
      </c>
    </row>
    <row r="125" spans="1:13" x14ac:dyDescent="0.25">
      <c r="B125" s="116" t="s">
        <v>88</v>
      </c>
      <c r="C125" s="117">
        <v>2896</v>
      </c>
      <c r="D125" s="118">
        <v>5.6882217090069283</v>
      </c>
      <c r="E125" s="117">
        <v>1983</v>
      </c>
      <c r="F125" s="118">
        <f t="shared" si="13"/>
        <v>-0.31526243093922657</v>
      </c>
      <c r="G125" s="117">
        <v>1886</v>
      </c>
      <c r="H125" s="118">
        <f t="shared" si="13"/>
        <v>-4.8915784165405984E-2</v>
      </c>
      <c r="I125" s="117">
        <v>1824</v>
      </c>
      <c r="J125" s="118">
        <f t="shared" si="13"/>
        <v>-3.2873806998939603E-2</v>
      </c>
      <c r="K125" s="117">
        <v>1744</v>
      </c>
      <c r="L125" s="118">
        <f t="shared" si="14"/>
        <v>-4.3859649122807043E-2</v>
      </c>
    </row>
    <row r="126" spans="1:13" x14ac:dyDescent="0.25">
      <c r="B126" s="116" t="s">
        <v>90</v>
      </c>
      <c r="C126" s="117">
        <v>2814</v>
      </c>
      <c r="D126" s="118">
        <v>2.2196796338672771</v>
      </c>
      <c r="E126" s="117">
        <v>4366</v>
      </c>
      <c r="F126" s="118">
        <f t="shared" si="13"/>
        <v>0.55152807391613368</v>
      </c>
      <c r="G126" s="117">
        <v>2083</v>
      </c>
      <c r="H126" s="118">
        <f t="shared" si="13"/>
        <v>-0.52290426019239578</v>
      </c>
      <c r="I126" s="117">
        <v>2058</v>
      </c>
      <c r="J126" s="118">
        <f t="shared" si="13"/>
        <v>-1.2001920307249114E-2</v>
      </c>
      <c r="K126" s="117"/>
      <c r="L126" s="118"/>
    </row>
    <row r="127" spans="1:13" x14ac:dyDescent="0.25">
      <c r="B127" s="116" t="s">
        <v>92</v>
      </c>
      <c r="C127" s="117">
        <v>2245</v>
      </c>
      <c r="D127" s="118">
        <v>1.2118226600985222</v>
      </c>
      <c r="E127" s="117">
        <v>4909</v>
      </c>
      <c r="F127" s="118">
        <f t="shared" si="13"/>
        <v>1.1866369710467706</v>
      </c>
      <c r="G127" s="117">
        <v>2363</v>
      </c>
      <c r="H127" s="118">
        <f t="shared" si="13"/>
        <v>-0.51863923405988999</v>
      </c>
      <c r="I127" s="117">
        <v>1851</v>
      </c>
      <c r="J127" s="118">
        <f t="shared" si="13"/>
        <v>-0.21667371984765127</v>
      </c>
      <c r="K127" s="117"/>
      <c r="L127" s="118"/>
    </row>
    <row r="128" spans="1:13" x14ac:dyDescent="0.25">
      <c r="A128" s="122"/>
      <c r="B128" s="116" t="s">
        <v>94</v>
      </c>
      <c r="C128" s="117">
        <v>2166</v>
      </c>
      <c r="D128" s="118">
        <v>9.7902097902098362E-3</v>
      </c>
      <c r="E128" s="117">
        <v>4936</v>
      </c>
      <c r="F128" s="118">
        <f t="shared" si="13"/>
        <v>1.2788550323176362</v>
      </c>
      <c r="G128" s="117">
        <v>1826</v>
      </c>
      <c r="H128" s="118">
        <f t="shared" si="13"/>
        <v>-0.63006482982171796</v>
      </c>
      <c r="I128" s="117">
        <v>2377</v>
      </c>
      <c r="J128" s="118">
        <f t="shared" si="13"/>
        <v>0.30175246440306691</v>
      </c>
      <c r="K128" s="117"/>
      <c r="L128" s="118"/>
    </row>
    <row r="129" spans="2:13" x14ac:dyDescent="0.25">
      <c r="B129" s="116" t="s">
        <v>96</v>
      </c>
      <c r="C129" s="117">
        <v>2705</v>
      </c>
      <c r="D129" s="118">
        <v>7.6831210191082855E-2</v>
      </c>
      <c r="E129" s="117">
        <v>3283</v>
      </c>
      <c r="F129" s="118">
        <f t="shared" si="13"/>
        <v>0.21367837338262485</v>
      </c>
      <c r="G129" s="117">
        <v>2998</v>
      </c>
      <c r="H129" s="118">
        <f t="shared" si="13"/>
        <v>-8.6810843740481314E-2</v>
      </c>
      <c r="I129" s="117">
        <v>3191</v>
      </c>
      <c r="J129" s="118">
        <f t="shared" si="13"/>
        <v>6.4376250833889204E-2</v>
      </c>
      <c r="K129" s="117"/>
      <c r="L129" s="118"/>
    </row>
    <row r="130" spans="2:13" x14ac:dyDescent="0.25">
      <c r="B130" s="116" t="s">
        <v>98</v>
      </c>
      <c r="C130" s="117">
        <v>3617</v>
      </c>
      <c r="D130" s="118">
        <v>0.58570802279701883</v>
      </c>
      <c r="E130" s="117">
        <v>3687</v>
      </c>
      <c r="F130" s="118">
        <f t="shared" si="13"/>
        <v>1.9353055017970799E-2</v>
      </c>
      <c r="G130" s="117">
        <v>3685</v>
      </c>
      <c r="H130" s="118">
        <f t="shared" si="13"/>
        <v>-5.4244643341472276E-4</v>
      </c>
      <c r="I130" s="117">
        <v>3162</v>
      </c>
      <c r="J130" s="118">
        <f t="shared" si="13"/>
        <v>-0.14192672998643152</v>
      </c>
      <c r="K130" s="117"/>
      <c r="L130" s="118"/>
    </row>
    <row r="131" spans="2:13" ht="15.75" x14ac:dyDescent="0.25">
      <c r="B131" s="119" t="s">
        <v>32</v>
      </c>
      <c r="C131" s="120">
        <v>33351</v>
      </c>
      <c r="D131" s="121">
        <v>2</v>
      </c>
      <c r="E131" s="120">
        <v>40285</v>
      </c>
      <c r="F131" s="121">
        <f t="shared" si="13"/>
        <v>0.20790980780186508</v>
      </c>
      <c r="G131" s="120">
        <v>36563</v>
      </c>
      <c r="H131" s="121">
        <f t="shared" si="13"/>
        <v>-9.2391709072855877E-2</v>
      </c>
      <c r="I131" s="120">
        <v>30846</v>
      </c>
      <c r="J131" s="121">
        <f t="shared" si="13"/>
        <v>-0.15636025490249705</v>
      </c>
      <c r="K131" s="120">
        <v>18164</v>
      </c>
      <c r="L131" s="121">
        <v>-2.3617290053276063E-3</v>
      </c>
    </row>
    <row r="132" spans="2:13" ht="6" customHeight="1" x14ac:dyDescent="0.25"/>
    <row r="133" spans="2:13" x14ac:dyDescent="0.25">
      <c r="B133" s="107" t="s">
        <v>57</v>
      </c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</row>
    <row r="134" spans="2:13" x14ac:dyDescent="0.25">
      <c r="C134" s="122"/>
      <c r="I134" s="122"/>
      <c r="L134" s="81"/>
    </row>
    <row r="136" spans="2:13" ht="48.75" customHeight="1" thickBot="1" x14ac:dyDescent="0.3">
      <c r="B136" s="273" t="s">
        <v>287</v>
      </c>
      <c r="C136" s="273"/>
      <c r="D136" s="273"/>
      <c r="E136" s="273"/>
      <c r="F136" s="273"/>
      <c r="G136" s="273"/>
      <c r="H136" s="273"/>
      <c r="I136" s="273"/>
      <c r="J136" s="273"/>
      <c r="K136" s="273"/>
      <c r="L136" s="273"/>
      <c r="M136" s="1" t="s">
        <v>116</v>
      </c>
    </row>
    <row r="137" spans="2:13" ht="10.5" customHeight="1" thickBot="1" x14ac:dyDescent="0.3">
      <c r="B137" s="109"/>
      <c r="C137" s="110"/>
      <c r="D137" s="109"/>
      <c r="E137" s="109"/>
      <c r="F137" s="109"/>
      <c r="G137" s="109"/>
      <c r="H137" s="109"/>
      <c r="I137" s="109"/>
      <c r="J137" s="109"/>
      <c r="K137" s="4"/>
      <c r="L137" s="4"/>
      <c r="M137" s="1" t="s">
        <v>117</v>
      </c>
    </row>
    <row r="138" spans="2:13" ht="22.5" thickTop="1" thickBot="1" x14ac:dyDescent="0.3">
      <c r="B138" s="123" t="str">
        <f>C138</f>
        <v>Alemania</v>
      </c>
      <c r="C138" s="298" t="s">
        <v>118</v>
      </c>
      <c r="D138" s="299"/>
      <c r="E138" s="299"/>
      <c r="F138" s="299"/>
      <c r="G138" s="299"/>
      <c r="H138" s="299"/>
      <c r="I138" s="299"/>
      <c r="J138" s="299"/>
      <c r="K138" s="299"/>
      <c r="L138" s="299"/>
    </row>
    <row r="139" spans="2:13" ht="22.5" thickTop="1" thickBot="1" x14ac:dyDescent="0.3">
      <c r="B139" s="112"/>
      <c r="C139" s="303">
        <f>$C$7</f>
        <v>2022</v>
      </c>
      <c r="D139" s="301"/>
      <c r="E139" s="300">
        <f>$E$7</f>
        <v>2023</v>
      </c>
      <c r="F139" s="301"/>
      <c r="G139" s="300">
        <f>$G$7</f>
        <v>2024</v>
      </c>
      <c r="H139" s="301"/>
      <c r="I139" s="300">
        <f>$I$7</f>
        <v>2025</v>
      </c>
      <c r="J139" s="301"/>
      <c r="K139" s="300">
        <f>$K$7</f>
        <v>2026</v>
      </c>
      <c r="L139" s="302"/>
    </row>
    <row r="140" spans="2:13" ht="16.5" thickTop="1" thickBot="1" x14ac:dyDescent="0.3">
      <c r="B140" s="87"/>
      <c r="C140" s="113" t="s">
        <v>74</v>
      </c>
      <c r="D140" s="114" t="str">
        <f>CONCATENATE("var. ",RIGHT(C139,2),"/",RIGHT(C139-1,2))</f>
        <v>var. 22/21</v>
      </c>
      <c r="E140" s="115" t="s">
        <v>74</v>
      </c>
      <c r="F140" s="114" t="s">
        <v>259</v>
      </c>
      <c r="G140" s="115" t="s">
        <v>74</v>
      </c>
      <c r="H140" s="114" t="s">
        <v>259</v>
      </c>
      <c r="I140" s="115" t="s">
        <v>74</v>
      </c>
      <c r="J140" s="114" t="s">
        <v>259</v>
      </c>
      <c r="K140" s="115" t="s">
        <v>74</v>
      </c>
      <c r="L140" s="114" t="s">
        <v>282</v>
      </c>
    </row>
    <row r="141" spans="2:13" x14ac:dyDescent="0.25">
      <c r="B141" s="116" t="s">
        <v>76</v>
      </c>
      <c r="C141" s="117">
        <v>3311</v>
      </c>
      <c r="D141" s="118">
        <v>5.7296747967479673</v>
      </c>
      <c r="E141" s="117">
        <v>6542</v>
      </c>
      <c r="F141" s="118">
        <f t="shared" ref="F141:J153" si="15">IFERROR(E141/C141-1,"-")</f>
        <v>0.97583811537299914</v>
      </c>
      <c r="G141" s="117">
        <v>6113</v>
      </c>
      <c r="H141" s="118">
        <f t="shared" si="15"/>
        <v>-6.5576276368083164E-2</v>
      </c>
      <c r="I141" s="117">
        <v>6090</v>
      </c>
      <c r="J141" s="118">
        <f t="shared" si="15"/>
        <v>-3.7624734173073993E-3</v>
      </c>
      <c r="K141" s="117">
        <v>6577</v>
      </c>
      <c r="L141" s="118">
        <f t="shared" ref="L141:L147" si="16">IFERROR(K141/I141-1,"-")</f>
        <v>7.9967159277504196E-2</v>
      </c>
    </row>
    <row r="142" spans="2:13" x14ac:dyDescent="0.25">
      <c r="B142" s="116" t="s">
        <v>78</v>
      </c>
      <c r="C142" s="117">
        <v>2826</v>
      </c>
      <c r="D142" s="118">
        <v>3.5507246376811592</v>
      </c>
      <c r="E142" s="117">
        <v>4664</v>
      </c>
      <c r="F142" s="118">
        <f t="shared" si="15"/>
        <v>0.65038924274593057</v>
      </c>
      <c r="G142" s="117">
        <v>4561</v>
      </c>
      <c r="H142" s="118">
        <f t="shared" si="15"/>
        <v>-2.2084048027444236E-2</v>
      </c>
      <c r="I142" s="117">
        <v>4794</v>
      </c>
      <c r="J142" s="118">
        <f t="shared" si="15"/>
        <v>5.1085288313966304E-2</v>
      </c>
      <c r="K142" s="117">
        <v>4906</v>
      </c>
      <c r="L142" s="118">
        <f t="shared" si="16"/>
        <v>2.336253650396336E-2</v>
      </c>
    </row>
    <row r="143" spans="2:13" x14ac:dyDescent="0.25">
      <c r="B143" s="116" t="s">
        <v>80</v>
      </c>
      <c r="C143" s="117">
        <v>3699</v>
      </c>
      <c r="D143" s="118">
        <v>2.7783452502553625</v>
      </c>
      <c r="E143" s="117">
        <v>5403</v>
      </c>
      <c r="F143" s="118">
        <f t="shared" si="15"/>
        <v>0.46066504460665048</v>
      </c>
      <c r="G143" s="117">
        <v>5795</v>
      </c>
      <c r="H143" s="118">
        <f t="shared" si="15"/>
        <v>7.2552285767166325E-2</v>
      </c>
      <c r="I143" s="117">
        <v>4786</v>
      </c>
      <c r="J143" s="118">
        <f t="shared" si="15"/>
        <v>-0.17411561691113031</v>
      </c>
      <c r="K143" s="117">
        <v>6053</v>
      </c>
      <c r="L143" s="118">
        <f t="shared" si="16"/>
        <v>0.26473046385290422</v>
      </c>
    </row>
    <row r="144" spans="2:13" x14ac:dyDescent="0.25">
      <c r="B144" s="116" t="s">
        <v>82</v>
      </c>
      <c r="C144" s="117">
        <v>3126</v>
      </c>
      <c r="D144" s="118">
        <v>1.9856733524355299</v>
      </c>
      <c r="E144" s="117">
        <v>3248</v>
      </c>
      <c r="F144" s="118">
        <f t="shared" si="15"/>
        <v>3.902751119641712E-2</v>
      </c>
      <c r="G144" s="117">
        <v>3013</v>
      </c>
      <c r="H144" s="118">
        <f t="shared" si="15"/>
        <v>-7.2352216748768461E-2</v>
      </c>
      <c r="I144" s="117">
        <v>3430</v>
      </c>
      <c r="J144" s="118">
        <f t="shared" si="15"/>
        <v>0.13840026551609697</v>
      </c>
      <c r="K144" s="117">
        <v>3278</v>
      </c>
      <c r="L144" s="118">
        <f t="shared" si="16"/>
        <v>-4.4314868804664731E-2</v>
      </c>
    </row>
    <row r="145" spans="1:13" x14ac:dyDescent="0.25">
      <c r="B145" s="116" t="s">
        <v>84</v>
      </c>
      <c r="C145" s="117">
        <v>1982</v>
      </c>
      <c r="D145" s="118">
        <v>1.8153409090909092</v>
      </c>
      <c r="E145" s="117">
        <v>1617</v>
      </c>
      <c r="F145" s="118">
        <f t="shared" si="15"/>
        <v>-0.18415741675075681</v>
      </c>
      <c r="G145" s="117">
        <v>1644</v>
      </c>
      <c r="H145" s="118">
        <f t="shared" si="15"/>
        <v>1.6697588126159513E-2</v>
      </c>
      <c r="I145" s="117">
        <v>1465</v>
      </c>
      <c r="J145" s="118">
        <f t="shared" si="15"/>
        <v>-0.10888077858880774</v>
      </c>
      <c r="K145" s="117">
        <v>1355</v>
      </c>
      <c r="L145" s="118">
        <f t="shared" si="16"/>
        <v>-7.5085324232081918E-2</v>
      </c>
    </row>
    <row r="146" spans="1:13" x14ac:dyDescent="0.25">
      <c r="B146" s="116" t="s">
        <v>86</v>
      </c>
      <c r="C146" s="117">
        <v>1123</v>
      </c>
      <c r="D146" s="118">
        <v>0.12075848303393211</v>
      </c>
      <c r="E146" s="117">
        <v>1064</v>
      </c>
      <c r="F146" s="118">
        <f t="shared" si="15"/>
        <v>-5.2537845057880728E-2</v>
      </c>
      <c r="G146" s="117">
        <v>1312</v>
      </c>
      <c r="H146" s="118">
        <f t="shared" si="15"/>
        <v>0.23308270676691722</v>
      </c>
      <c r="I146" s="117">
        <v>1070</v>
      </c>
      <c r="J146" s="118">
        <f t="shared" si="15"/>
        <v>-0.18445121951219512</v>
      </c>
      <c r="K146" s="117">
        <v>1158</v>
      </c>
      <c r="L146" s="118">
        <f t="shared" si="16"/>
        <v>8.2242990654205705E-2</v>
      </c>
    </row>
    <row r="147" spans="1:13" x14ac:dyDescent="0.25">
      <c r="B147" s="116" t="s">
        <v>88</v>
      </c>
      <c r="C147" s="117">
        <v>2041</v>
      </c>
      <c r="D147" s="118">
        <v>0.59577795152462865</v>
      </c>
      <c r="E147" s="117">
        <v>1899</v>
      </c>
      <c r="F147" s="118">
        <f t="shared" si="15"/>
        <v>-6.9573738363547299E-2</v>
      </c>
      <c r="G147" s="117">
        <v>1547</v>
      </c>
      <c r="H147" s="118">
        <f t="shared" si="15"/>
        <v>-0.18536071616640337</v>
      </c>
      <c r="I147" s="117">
        <v>1778</v>
      </c>
      <c r="J147" s="118">
        <f t="shared" si="15"/>
        <v>0.14932126696832571</v>
      </c>
      <c r="K147" s="117">
        <v>1365</v>
      </c>
      <c r="L147" s="118">
        <f t="shared" si="16"/>
        <v>-0.23228346456692917</v>
      </c>
    </row>
    <row r="148" spans="1:13" x14ac:dyDescent="0.25">
      <c r="B148" s="116" t="s">
        <v>90</v>
      </c>
      <c r="C148" s="117">
        <v>1858</v>
      </c>
      <c r="D148" s="118">
        <v>0.13917841814837528</v>
      </c>
      <c r="E148" s="117">
        <v>2985</v>
      </c>
      <c r="F148" s="118">
        <f t="shared" si="15"/>
        <v>0.60656620021528518</v>
      </c>
      <c r="G148" s="117">
        <v>2860</v>
      </c>
      <c r="H148" s="118">
        <f t="shared" si="15"/>
        <v>-4.1876046901172526E-2</v>
      </c>
      <c r="I148" s="117">
        <v>1868</v>
      </c>
      <c r="J148" s="118">
        <f t="shared" si="15"/>
        <v>-0.34685314685314683</v>
      </c>
      <c r="K148" s="117"/>
      <c r="L148" s="118"/>
    </row>
    <row r="149" spans="1:13" x14ac:dyDescent="0.25">
      <c r="B149" s="116" t="s">
        <v>92</v>
      </c>
      <c r="C149" s="117">
        <v>1872</v>
      </c>
      <c r="D149" s="118">
        <v>0.20308483290488422</v>
      </c>
      <c r="E149" s="117">
        <v>2184</v>
      </c>
      <c r="F149" s="118">
        <f t="shared" si="15"/>
        <v>0.16666666666666674</v>
      </c>
      <c r="G149" s="117">
        <v>2212</v>
      </c>
      <c r="H149" s="118">
        <f t="shared" si="15"/>
        <v>1.2820512820512775E-2</v>
      </c>
      <c r="I149" s="117">
        <v>2325</v>
      </c>
      <c r="J149" s="118">
        <f t="shared" si="15"/>
        <v>5.1084990958408572E-2</v>
      </c>
      <c r="K149" s="117"/>
      <c r="L149" s="118"/>
    </row>
    <row r="150" spans="1:13" x14ac:dyDescent="0.25">
      <c r="A150" s="122"/>
      <c r="B150" s="116" t="s">
        <v>94</v>
      </c>
      <c r="C150" s="117">
        <v>2874</v>
      </c>
      <c r="D150" s="118">
        <v>-7.5587005467996127E-2</v>
      </c>
      <c r="E150" s="117">
        <v>3162</v>
      </c>
      <c r="F150" s="118">
        <f t="shared" si="15"/>
        <v>0.10020876826722347</v>
      </c>
      <c r="G150" s="117">
        <v>3189</v>
      </c>
      <c r="H150" s="118">
        <f t="shared" si="15"/>
        <v>8.5388994307400434E-3</v>
      </c>
      <c r="I150" s="117">
        <v>3369</v>
      </c>
      <c r="J150" s="118">
        <f t="shared" si="15"/>
        <v>5.6444026340545683E-2</v>
      </c>
      <c r="K150" s="117"/>
      <c r="L150" s="118"/>
    </row>
    <row r="151" spans="1:13" x14ac:dyDescent="0.25">
      <c r="B151" s="116" t="s">
        <v>96</v>
      </c>
      <c r="C151" s="117">
        <v>4788</v>
      </c>
      <c r="D151" s="118">
        <v>-4.0865384615384581E-2</v>
      </c>
      <c r="E151" s="117">
        <v>4616</v>
      </c>
      <c r="F151" s="118">
        <f t="shared" si="15"/>
        <v>-3.5923141186299135E-2</v>
      </c>
      <c r="G151" s="117">
        <v>4412</v>
      </c>
      <c r="H151" s="118">
        <f t="shared" si="15"/>
        <v>-4.4194107452339648E-2</v>
      </c>
      <c r="I151" s="117">
        <v>5689</v>
      </c>
      <c r="J151" s="118">
        <f t="shared" si="15"/>
        <v>0.28943789664551223</v>
      </c>
      <c r="K151" s="117"/>
      <c r="L151" s="118"/>
    </row>
    <row r="152" spans="1:13" x14ac:dyDescent="0.25">
      <c r="B152" s="116" t="s">
        <v>98</v>
      </c>
      <c r="C152" s="117">
        <v>5291</v>
      </c>
      <c r="D152" s="118">
        <v>-0.12051196808510634</v>
      </c>
      <c r="E152" s="117">
        <v>6047</v>
      </c>
      <c r="F152" s="118">
        <f t="shared" si="15"/>
        <v>0.14288414288414297</v>
      </c>
      <c r="G152" s="117">
        <v>5549</v>
      </c>
      <c r="H152" s="118">
        <f t="shared" si="15"/>
        <v>-8.2354886720687914E-2</v>
      </c>
      <c r="I152" s="117">
        <v>6551</v>
      </c>
      <c r="J152" s="118">
        <f t="shared" si="15"/>
        <v>0.18057307622995133</v>
      </c>
      <c r="K152" s="117"/>
      <c r="L152" s="118"/>
    </row>
    <row r="153" spans="1:13" ht="15.75" x14ac:dyDescent="0.25">
      <c r="B153" s="119" t="s">
        <v>32</v>
      </c>
      <c r="C153" s="120">
        <v>34791</v>
      </c>
      <c r="D153" s="121">
        <v>0.48501792726651871</v>
      </c>
      <c r="E153" s="120">
        <v>43431</v>
      </c>
      <c r="F153" s="121">
        <f t="shared" si="15"/>
        <v>0.24834008795378115</v>
      </c>
      <c r="G153" s="120">
        <v>42207</v>
      </c>
      <c r="H153" s="121">
        <f t="shared" si="15"/>
        <v>-2.8182634523727268E-2</v>
      </c>
      <c r="I153" s="120">
        <v>43215</v>
      </c>
      <c r="J153" s="121">
        <f t="shared" si="15"/>
        <v>2.3882294406141202E-2</v>
      </c>
      <c r="K153" s="120">
        <v>24692</v>
      </c>
      <c r="L153" s="121">
        <v>5.4627770896510386E-2</v>
      </c>
    </row>
    <row r="154" spans="1:13" ht="6" customHeight="1" x14ac:dyDescent="0.25"/>
    <row r="155" spans="1:13" x14ac:dyDescent="0.25">
      <c r="B155" s="107" t="s">
        <v>57</v>
      </c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</row>
    <row r="156" spans="1:13" x14ac:dyDescent="0.25">
      <c r="C156" s="122"/>
      <c r="I156" s="122"/>
      <c r="L156" s="81"/>
    </row>
    <row r="158" spans="1:13" ht="48.75" customHeight="1" thickBot="1" x14ac:dyDescent="0.3">
      <c r="B158" s="273" t="s">
        <v>288</v>
      </c>
      <c r="C158" s="273"/>
      <c r="D158" s="273"/>
      <c r="E158" s="273"/>
      <c r="F158" s="273"/>
      <c r="G158" s="273"/>
      <c r="H158" s="273"/>
      <c r="I158" s="273"/>
      <c r="J158" s="273"/>
      <c r="K158" s="273"/>
      <c r="L158" s="273"/>
      <c r="M158" s="1" t="s">
        <v>119</v>
      </c>
    </row>
    <row r="159" spans="1:13" ht="10.5" customHeight="1" thickBot="1" x14ac:dyDescent="0.3">
      <c r="B159" s="109"/>
      <c r="C159" s="110"/>
      <c r="D159" s="109"/>
      <c r="E159" s="109"/>
      <c r="F159" s="109"/>
      <c r="G159" s="109"/>
      <c r="H159" s="109"/>
      <c r="I159" s="109"/>
      <c r="J159" s="109"/>
      <c r="K159" s="4"/>
      <c r="L159" s="4"/>
      <c r="M159" s="1" t="s">
        <v>120</v>
      </c>
    </row>
    <row r="160" spans="1:13" ht="22.5" thickTop="1" thickBot="1" x14ac:dyDescent="0.3">
      <c r="B160" s="123" t="str">
        <f>C160</f>
        <v>Francia</v>
      </c>
      <c r="C160" s="298" t="s">
        <v>121</v>
      </c>
      <c r="D160" s="299"/>
      <c r="E160" s="299"/>
      <c r="F160" s="299"/>
      <c r="G160" s="299"/>
      <c r="H160" s="299"/>
      <c r="I160" s="299"/>
      <c r="J160" s="299"/>
      <c r="K160" s="299"/>
      <c r="L160" s="299"/>
    </row>
    <row r="161" spans="2:12" ht="22.5" thickTop="1" thickBot="1" x14ac:dyDescent="0.3">
      <c r="B161" s="112"/>
      <c r="C161" s="303">
        <f>$C$7</f>
        <v>2022</v>
      </c>
      <c r="D161" s="301"/>
      <c r="E161" s="300">
        <f>$E$7</f>
        <v>2023</v>
      </c>
      <c r="F161" s="301"/>
      <c r="G161" s="300">
        <f>$G$7</f>
        <v>2024</v>
      </c>
      <c r="H161" s="301"/>
      <c r="I161" s="300">
        <f>$I$7</f>
        <v>2025</v>
      </c>
      <c r="J161" s="301"/>
      <c r="K161" s="300">
        <f>$K$7</f>
        <v>2026</v>
      </c>
      <c r="L161" s="302"/>
    </row>
    <row r="162" spans="2:12" ht="16.5" thickTop="1" thickBot="1" x14ac:dyDescent="0.3">
      <c r="B162" s="87"/>
      <c r="C162" s="113" t="s">
        <v>74</v>
      </c>
      <c r="D162" s="114" t="str">
        <f>CONCATENATE("var. ",RIGHT(C161,2),"/",RIGHT(C161-1,2))</f>
        <v>var. 22/21</v>
      </c>
      <c r="E162" s="115" t="s">
        <v>74</v>
      </c>
      <c r="F162" s="114" t="s">
        <v>259</v>
      </c>
      <c r="G162" s="115" t="s">
        <v>74</v>
      </c>
      <c r="H162" s="114" t="s">
        <v>259</v>
      </c>
      <c r="I162" s="115" t="s">
        <v>74</v>
      </c>
      <c r="J162" s="114" t="s">
        <v>259</v>
      </c>
      <c r="K162" s="115" t="s">
        <v>74</v>
      </c>
      <c r="L162" s="114" t="s">
        <v>282</v>
      </c>
    </row>
    <row r="163" spans="2:12" x14ac:dyDescent="0.25">
      <c r="B163" s="116" t="s">
        <v>76</v>
      </c>
      <c r="C163" s="117">
        <v>1697</v>
      </c>
      <c r="D163" s="118">
        <v>1.9258620689655173</v>
      </c>
      <c r="E163" s="117">
        <v>3344</v>
      </c>
      <c r="F163" s="118">
        <f t="shared" ref="F163:J175" si="17">IFERROR(E163/C163-1,"-")</f>
        <v>0.97053624042427811</v>
      </c>
      <c r="G163" s="117">
        <v>2931</v>
      </c>
      <c r="H163" s="118">
        <f t="shared" si="17"/>
        <v>-0.12350478468899517</v>
      </c>
      <c r="I163" s="117">
        <v>2278</v>
      </c>
      <c r="J163" s="118">
        <f t="shared" si="17"/>
        <v>-0.22279085636301599</v>
      </c>
      <c r="K163" s="117">
        <v>2451</v>
      </c>
      <c r="L163" s="118">
        <f t="shared" ref="L163:L169" si="18">IFERROR(K163/I163-1,"-")</f>
        <v>7.5943810359964781E-2</v>
      </c>
    </row>
    <row r="164" spans="2:12" x14ac:dyDescent="0.25">
      <c r="B164" s="116" t="s">
        <v>78</v>
      </c>
      <c r="C164" s="117">
        <v>2208</v>
      </c>
      <c r="D164" s="118">
        <v>2.3658536585365852</v>
      </c>
      <c r="E164" s="117">
        <v>2356</v>
      </c>
      <c r="F164" s="118">
        <f t="shared" si="17"/>
        <v>6.7028985507246341E-2</v>
      </c>
      <c r="G164" s="117">
        <v>2461</v>
      </c>
      <c r="H164" s="118">
        <f t="shared" si="17"/>
        <v>4.4567062818336112E-2</v>
      </c>
      <c r="I164" s="117">
        <v>2576</v>
      </c>
      <c r="J164" s="118">
        <f t="shared" si="17"/>
        <v>4.6728971962616717E-2</v>
      </c>
      <c r="K164" s="117">
        <v>2363</v>
      </c>
      <c r="L164" s="118">
        <f t="shared" si="18"/>
        <v>-8.2686335403726718E-2</v>
      </c>
    </row>
    <row r="165" spans="2:12" x14ac:dyDescent="0.25">
      <c r="B165" s="116" t="s">
        <v>80</v>
      </c>
      <c r="C165" s="117">
        <v>2855</v>
      </c>
      <c r="D165" s="118">
        <v>1.6484230055658626</v>
      </c>
      <c r="E165" s="117">
        <v>2785</v>
      </c>
      <c r="F165" s="118">
        <f t="shared" si="17"/>
        <v>-2.4518388791593737E-2</v>
      </c>
      <c r="G165" s="117">
        <v>2820</v>
      </c>
      <c r="H165" s="118">
        <f t="shared" si="17"/>
        <v>1.2567324955116588E-2</v>
      </c>
      <c r="I165" s="117">
        <v>1872</v>
      </c>
      <c r="J165" s="118">
        <f t="shared" si="17"/>
        <v>-0.33617021276595749</v>
      </c>
      <c r="K165" s="117">
        <v>2514</v>
      </c>
      <c r="L165" s="118">
        <f t="shared" si="18"/>
        <v>0.34294871794871784</v>
      </c>
    </row>
    <row r="166" spans="2:12" x14ac:dyDescent="0.25">
      <c r="B166" s="116" t="s">
        <v>82</v>
      </c>
      <c r="C166" s="117">
        <v>1982</v>
      </c>
      <c r="D166" s="118">
        <v>0.44671532846715323</v>
      </c>
      <c r="E166" s="117">
        <v>1759</v>
      </c>
      <c r="F166" s="118">
        <f t="shared" si="17"/>
        <v>-0.11251261352169528</v>
      </c>
      <c r="G166" s="117">
        <v>1879</v>
      </c>
      <c r="H166" s="118">
        <f t="shared" si="17"/>
        <v>6.8220579874928911E-2</v>
      </c>
      <c r="I166" s="117">
        <v>1696</v>
      </c>
      <c r="J166" s="118">
        <f t="shared" si="17"/>
        <v>-9.739222990952634E-2</v>
      </c>
      <c r="K166" s="117">
        <v>2103</v>
      </c>
      <c r="L166" s="118">
        <f t="shared" si="18"/>
        <v>0.23997641509433953</v>
      </c>
    </row>
    <row r="167" spans="2:12" x14ac:dyDescent="0.25">
      <c r="B167" s="116" t="s">
        <v>84</v>
      </c>
      <c r="C167" s="117">
        <v>1622</v>
      </c>
      <c r="D167" s="118">
        <v>-0.21300339640950994</v>
      </c>
      <c r="E167" s="117">
        <v>2014</v>
      </c>
      <c r="F167" s="118">
        <f t="shared" si="17"/>
        <v>0.24167694204685564</v>
      </c>
      <c r="G167" s="117">
        <v>1952</v>
      </c>
      <c r="H167" s="118">
        <f t="shared" si="17"/>
        <v>-3.0784508440913627E-2</v>
      </c>
      <c r="I167" s="117">
        <v>1563</v>
      </c>
      <c r="J167" s="118">
        <f t="shared" si="17"/>
        <v>-0.19928278688524592</v>
      </c>
      <c r="K167" s="117">
        <v>1535</v>
      </c>
      <c r="L167" s="118">
        <f t="shared" si="18"/>
        <v>-1.7914267434421038E-2</v>
      </c>
    </row>
    <row r="168" spans="2:12" x14ac:dyDescent="0.25">
      <c r="B168" s="116" t="s">
        <v>86</v>
      </c>
      <c r="C168" s="117">
        <v>1049</v>
      </c>
      <c r="D168" s="118">
        <v>1.9436345966958202E-2</v>
      </c>
      <c r="E168" s="117">
        <v>1678</v>
      </c>
      <c r="F168" s="118">
        <f t="shared" si="17"/>
        <v>0.59961868446139177</v>
      </c>
      <c r="G168" s="117">
        <v>905</v>
      </c>
      <c r="H168" s="118">
        <f t="shared" si="17"/>
        <v>-0.46066746126340885</v>
      </c>
      <c r="I168" s="117">
        <v>923</v>
      </c>
      <c r="J168" s="118">
        <f t="shared" si="17"/>
        <v>1.9889502762430844E-2</v>
      </c>
      <c r="K168" s="117">
        <v>1064</v>
      </c>
      <c r="L168" s="118">
        <f t="shared" si="18"/>
        <v>0.15276273022751896</v>
      </c>
    </row>
    <row r="169" spans="2:12" x14ac:dyDescent="0.25">
      <c r="B169" s="116" t="s">
        <v>88</v>
      </c>
      <c r="C169" s="117">
        <v>1231</v>
      </c>
      <c r="D169" s="118">
        <v>-0.15742642026009579</v>
      </c>
      <c r="E169" s="117">
        <v>1572</v>
      </c>
      <c r="F169" s="118">
        <f t="shared" si="17"/>
        <v>0.27701056051990247</v>
      </c>
      <c r="G169" s="117">
        <v>1293</v>
      </c>
      <c r="H169" s="118">
        <f t="shared" si="17"/>
        <v>-0.1774809160305344</v>
      </c>
      <c r="I169" s="117">
        <v>2132</v>
      </c>
      <c r="J169" s="118">
        <f t="shared" si="17"/>
        <v>0.64887857695282292</v>
      </c>
      <c r="K169" s="117">
        <v>2189</v>
      </c>
      <c r="L169" s="118">
        <f t="shared" si="18"/>
        <v>2.6735459662288852E-2</v>
      </c>
    </row>
    <row r="170" spans="2:12" x14ac:dyDescent="0.25">
      <c r="B170" s="116" t="s">
        <v>90</v>
      </c>
      <c r="C170" s="117">
        <v>2883</v>
      </c>
      <c r="D170" s="118">
        <v>0.10756819054936617</v>
      </c>
      <c r="E170" s="117">
        <v>3093</v>
      </c>
      <c r="F170" s="118">
        <f t="shared" si="17"/>
        <v>7.2840790842872094E-2</v>
      </c>
      <c r="G170" s="117">
        <v>3962</v>
      </c>
      <c r="H170" s="118">
        <f t="shared" si="17"/>
        <v>0.28095699967668919</v>
      </c>
      <c r="I170" s="117">
        <v>4537</v>
      </c>
      <c r="J170" s="118">
        <f t="shared" si="17"/>
        <v>0.14512872286723866</v>
      </c>
      <c r="K170" s="117"/>
      <c r="L170" s="118"/>
    </row>
    <row r="171" spans="2:12" x14ac:dyDescent="0.25">
      <c r="B171" s="116" t="s">
        <v>92</v>
      </c>
      <c r="C171" s="117">
        <v>1536</v>
      </c>
      <c r="D171" s="118">
        <v>3.5040431266846417E-2</v>
      </c>
      <c r="E171" s="117">
        <v>1358</v>
      </c>
      <c r="F171" s="118">
        <f t="shared" si="17"/>
        <v>-0.11588541666666663</v>
      </c>
      <c r="G171" s="117">
        <v>2078</v>
      </c>
      <c r="H171" s="118">
        <f t="shared" si="17"/>
        <v>0.53019145802650947</v>
      </c>
      <c r="I171" s="117">
        <v>2364</v>
      </c>
      <c r="J171" s="118">
        <f t="shared" si="17"/>
        <v>0.13763233878729553</v>
      </c>
      <c r="K171" s="117"/>
      <c r="L171" s="118"/>
    </row>
    <row r="172" spans="2:12" x14ac:dyDescent="0.25">
      <c r="B172" s="116" t="s">
        <v>94</v>
      </c>
      <c r="C172" s="117">
        <v>1751</v>
      </c>
      <c r="D172" s="118">
        <v>8.8253573648228612E-2</v>
      </c>
      <c r="E172" s="117">
        <v>1685</v>
      </c>
      <c r="F172" s="118">
        <f t="shared" si="17"/>
        <v>-3.7692747001713323E-2</v>
      </c>
      <c r="G172" s="117">
        <v>1740</v>
      </c>
      <c r="H172" s="118">
        <f t="shared" si="17"/>
        <v>3.2640949554896048E-2</v>
      </c>
      <c r="I172" s="117">
        <v>2322</v>
      </c>
      <c r="J172" s="118">
        <f t="shared" si="17"/>
        <v>0.33448275862068955</v>
      </c>
      <c r="K172" s="117"/>
      <c r="L172" s="118"/>
    </row>
    <row r="173" spans="2:12" x14ac:dyDescent="0.25">
      <c r="B173" s="116" t="s">
        <v>96</v>
      </c>
      <c r="C173" s="117">
        <v>2465</v>
      </c>
      <c r="D173" s="118">
        <v>0.12198452435138818</v>
      </c>
      <c r="E173" s="117">
        <v>2852</v>
      </c>
      <c r="F173" s="118">
        <f t="shared" si="17"/>
        <v>0.15699797160243412</v>
      </c>
      <c r="G173" s="117">
        <v>2022</v>
      </c>
      <c r="H173" s="118">
        <f t="shared" si="17"/>
        <v>-0.29102384291725103</v>
      </c>
      <c r="I173" s="117">
        <v>2548</v>
      </c>
      <c r="J173" s="118">
        <f t="shared" si="17"/>
        <v>0.26013847675568735</v>
      </c>
      <c r="K173" s="117"/>
      <c r="L173" s="118"/>
    </row>
    <row r="174" spans="2:12" x14ac:dyDescent="0.25">
      <c r="B174" s="116" t="s">
        <v>98</v>
      </c>
      <c r="C174" s="117">
        <v>2595</v>
      </c>
      <c r="D174" s="118">
        <v>0.2229029217719134</v>
      </c>
      <c r="E174" s="117">
        <v>2270</v>
      </c>
      <c r="F174" s="118">
        <f t="shared" si="17"/>
        <v>-0.12524084778420042</v>
      </c>
      <c r="G174" s="117">
        <v>2368</v>
      </c>
      <c r="H174" s="118">
        <f t="shared" si="17"/>
        <v>4.3171806167400906E-2</v>
      </c>
      <c r="I174" s="117">
        <v>2523</v>
      </c>
      <c r="J174" s="118">
        <f t="shared" si="17"/>
        <v>6.5456081081081141E-2</v>
      </c>
      <c r="K174" s="117"/>
      <c r="L174" s="118"/>
    </row>
    <row r="175" spans="2:12" ht="15.75" x14ac:dyDescent="0.25">
      <c r="B175" s="119" t="s">
        <v>32</v>
      </c>
      <c r="C175" s="120">
        <v>23874</v>
      </c>
      <c r="D175" s="121">
        <v>0.30816438356164388</v>
      </c>
      <c r="E175" s="120">
        <v>26766</v>
      </c>
      <c r="F175" s="121">
        <f t="shared" si="17"/>
        <v>0.12113596381000247</v>
      </c>
      <c r="G175" s="120">
        <v>26411</v>
      </c>
      <c r="H175" s="121">
        <f t="shared" si="17"/>
        <v>-1.3263094971232126E-2</v>
      </c>
      <c r="I175" s="120">
        <v>27334</v>
      </c>
      <c r="J175" s="121">
        <f t="shared" si="17"/>
        <v>3.4947559728900845E-2</v>
      </c>
      <c r="K175" s="120">
        <v>14219</v>
      </c>
      <c r="L175" s="121">
        <v>9.0414110429447803E-2</v>
      </c>
    </row>
    <row r="176" spans="2:12" ht="6" customHeight="1" x14ac:dyDescent="0.25"/>
    <row r="177" spans="1:13" x14ac:dyDescent="0.25">
      <c r="B177" s="107" t="s">
        <v>57</v>
      </c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</row>
    <row r="178" spans="1:13" x14ac:dyDescent="0.25">
      <c r="C178" s="122"/>
      <c r="I178" s="122"/>
      <c r="L178" s="81"/>
    </row>
    <row r="180" spans="1:13" ht="48.75" customHeight="1" thickBot="1" x14ac:dyDescent="0.3">
      <c r="B180" s="273" t="s">
        <v>289</v>
      </c>
      <c r="C180" s="273"/>
      <c r="D180" s="273"/>
      <c r="E180" s="273"/>
      <c r="F180" s="273"/>
      <c r="G180" s="273"/>
      <c r="H180" s="273"/>
      <c r="I180" s="273"/>
      <c r="J180" s="273"/>
      <c r="K180" s="273"/>
      <c r="L180" s="273"/>
      <c r="M180" s="1" t="s">
        <v>122</v>
      </c>
    </row>
    <row r="181" spans="1:13" ht="10.5" customHeight="1" thickBot="1" x14ac:dyDescent="0.3">
      <c r="B181" s="109"/>
      <c r="C181" s="110"/>
      <c r="D181" s="109"/>
      <c r="E181" s="109"/>
      <c r="F181" s="109"/>
      <c r="G181" s="109"/>
      <c r="H181" s="109"/>
      <c r="I181" s="109"/>
      <c r="J181" s="109"/>
      <c r="K181" s="4"/>
      <c r="L181" s="4"/>
      <c r="M181" s="1" t="s">
        <v>123</v>
      </c>
    </row>
    <row r="182" spans="1:13" ht="22.5" thickTop="1" thickBot="1" x14ac:dyDescent="0.3">
      <c r="B182" s="123" t="str">
        <f>C182</f>
        <v>Bélgica</v>
      </c>
      <c r="C182" s="298" t="s">
        <v>124</v>
      </c>
      <c r="D182" s="299"/>
      <c r="E182" s="299"/>
      <c r="F182" s="299"/>
      <c r="G182" s="299"/>
      <c r="H182" s="299"/>
      <c r="I182" s="299"/>
      <c r="J182" s="299"/>
      <c r="K182" s="299"/>
      <c r="L182" s="299"/>
    </row>
    <row r="183" spans="1:13" ht="22.5" thickTop="1" thickBot="1" x14ac:dyDescent="0.3">
      <c r="B183" s="112"/>
      <c r="C183" s="303">
        <f>$C$7</f>
        <v>2022</v>
      </c>
      <c r="D183" s="301"/>
      <c r="E183" s="300">
        <f>$E$7</f>
        <v>2023</v>
      </c>
      <c r="F183" s="301"/>
      <c r="G183" s="300">
        <f>$G$7</f>
        <v>2024</v>
      </c>
      <c r="H183" s="301"/>
      <c r="I183" s="300">
        <f>$I$7</f>
        <v>2025</v>
      </c>
      <c r="J183" s="301"/>
      <c r="K183" s="300">
        <f>$K$7</f>
        <v>2026</v>
      </c>
      <c r="L183" s="302"/>
    </row>
    <row r="184" spans="1:13" ht="16.5" thickTop="1" thickBot="1" x14ac:dyDescent="0.3">
      <c r="B184" s="87"/>
      <c r="C184" s="113" t="s">
        <v>74</v>
      </c>
      <c r="D184" s="114" t="str">
        <f>CONCATENATE("var. ",RIGHT(C183,2),"/",RIGHT(C183-1,2))</f>
        <v>var. 22/21</v>
      </c>
      <c r="E184" s="115" t="s">
        <v>74</v>
      </c>
      <c r="F184" s="114" t="s">
        <v>259</v>
      </c>
      <c r="G184" s="115" t="s">
        <v>74</v>
      </c>
      <c r="H184" s="114" t="s">
        <v>259</v>
      </c>
      <c r="I184" s="115" t="s">
        <v>74</v>
      </c>
      <c r="J184" s="114" t="s">
        <v>259</v>
      </c>
      <c r="K184" s="115" t="s">
        <v>74</v>
      </c>
      <c r="L184" s="114" t="s">
        <v>282</v>
      </c>
    </row>
    <row r="185" spans="1:13" x14ac:dyDescent="0.25">
      <c r="A185" s="122"/>
      <c r="B185" s="116" t="s">
        <v>76</v>
      </c>
      <c r="C185" s="117">
        <v>413</v>
      </c>
      <c r="D185" s="118">
        <v>4.9855072463768115</v>
      </c>
      <c r="E185" s="117">
        <v>618</v>
      </c>
      <c r="F185" s="118">
        <f t="shared" ref="F185:J197" si="19">IFERROR(E185/C185-1,"-")</f>
        <v>0.49636803874092017</v>
      </c>
      <c r="G185" s="117">
        <v>812</v>
      </c>
      <c r="H185" s="118">
        <f t="shared" si="19"/>
        <v>0.31391585760517793</v>
      </c>
      <c r="I185" s="117">
        <v>915</v>
      </c>
      <c r="J185" s="118">
        <f t="shared" si="19"/>
        <v>0.12684729064039413</v>
      </c>
      <c r="K185" s="117">
        <v>624</v>
      </c>
      <c r="L185" s="118">
        <f t="shared" ref="L185:L191" si="20">IFERROR(K185/I185-1,"-")</f>
        <v>-0.31803278688524594</v>
      </c>
    </row>
    <row r="186" spans="1:13" x14ac:dyDescent="0.25">
      <c r="B186" s="116" t="s">
        <v>78</v>
      </c>
      <c r="C186" s="117">
        <v>507</v>
      </c>
      <c r="D186" s="118">
        <v>5.0357142857142856</v>
      </c>
      <c r="E186" s="117">
        <v>515</v>
      </c>
      <c r="F186" s="118">
        <f t="shared" si="19"/>
        <v>1.5779092702169706E-2</v>
      </c>
      <c r="G186" s="117">
        <v>580</v>
      </c>
      <c r="H186" s="118">
        <f t="shared" si="19"/>
        <v>0.12621359223300965</v>
      </c>
      <c r="I186" s="117">
        <v>590</v>
      </c>
      <c r="J186" s="118">
        <f t="shared" si="19"/>
        <v>1.7241379310344751E-2</v>
      </c>
      <c r="K186" s="117">
        <v>753</v>
      </c>
      <c r="L186" s="118">
        <f t="shared" si="20"/>
        <v>0.27627118644067794</v>
      </c>
    </row>
    <row r="187" spans="1:13" x14ac:dyDescent="0.25">
      <c r="B187" s="116" t="s">
        <v>80</v>
      </c>
      <c r="C187" s="117">
        <v>494</v>
      </c>
      <c r="D187" s="118">
        <v>8.3207547169811313</v>
      </c>
      <c r="E187" s="117">
        <v>852</v>
      </c>
      <c r="F187" s="118">
        <f t="shared" si="19"/>
        <v>0.72469635627530371</v>
      </c>
      <c r="G187" s="117">
        <v>529</v>
      </c>
      <c r="H187" s="118">
        <f t="shared" si="19"/>
        <v>-0.37910798122065725</v>
      </c>
      <c r="I187" s="117">
        <v>411</v>
      </c>
      <c r="J187" s="118">
        <f t="shared" si="19"/>
        <v>-0.22306238185255201</v>
      </c>
      <c r="K187" s="117">
        <v>738</v>
      </c>
      <c r="L187" s="118">
        <f t="shared" si="20"/>
        <v>0.79562043795620441</v>
      </c>
    </row>
    <row r="188" spans="1:13" x14ac:dyDescent="0.25">
      <c r="B188" s="116" t="s">
        <v>82</v>
      </c>
      <c r="C188" s="117">
        <v>320</v>
      </c>
      <c r="D188" s="118">
        <v>4.7142857142857144</v>
      </c>
      <c r="E188" s="117">
        <v>425</v>
      </c>
      <c r="F188" s="118">
        <f t="shared" si="19"/>
        <v>0.328125</v>
      </c>
      <c r="G188" s="117">
        <v>432</v>
      </c>
      <c r="H188" s="118">
        <f t="shared" si="19"/>
        <v>1.6470588235294015E-2</v>
      </c>
      <c r="I188" s="117">
        <v>296</v>
      </c>
      <c r="J188" s="118">
        <f t="shared" si="19"/>
        <v>-0.31481481481481477</v>
      </c>
      <c r="K188" s="117">
        <v>568</v>
      </c>
      <c r="L188" s="118">
        <f t="shared" si="20"/>
        <v>0.91891891891891886</v>
      </c>
    </row>
    <row r="189" spans="1:13" x14ac:dyDescent="0.25">
      <c r="B189" s="116" t="s">
        <v>84</v>
      </c>
      <c r="C189" s="117">
        <v>325</v>
      </c>
      <c r="D189" s="118">
        <v>0.47058823529411775</v>
      </c>
      <c r="E189" s="117">
        <v>258</v>
      </c>
      <c r="F189" s="118">
        <f t="shared" si="19"/>
        <v>-0.20615384615384613</v>
      </c>
      <c r="G189" s="117">
        <v>367</v>
      </c>
      <c r="H189" s="118">
        <f t="shared" si="19"/>
        <v>0.42248062015503884</v>
      </c>
      <c r="I189" s="117">
        <v>397</v>
      </c>
      <c r="J189" s="118">
        <f t="shared" si="19"/>
        <v>8.1743869209809361E-2</v>
      </c>
      <c r="K189" s="117">
        <v>341</v>
      </c>
      <c r="L189" s="118">
        <f t="shared" si="20"/>
        <v>-0.1410579345088161</v>
      </c>
    </row>
    <row r="190" spans="1:13" x14ac:dyDescent="0.25">
      <c r="B190" s="116" t="s">
        <v>125</v>
      </c>
      <c r="C190" s="117">
        <v>268</v>
      </c>
      <c r="D190" s="118">
        <v>0.67500000000000004</v>
      </c>
      <c r="E190" s="117">
        <v>221</v>
      </c>
      <c r="F190" s="118">
        <f t="shared" si="19"/>
        <v>-0.17537313432835822</v>
      </c>
      <c r="G190" s="117">
        <v>272</v>
      </c>
      <c r="H190" s="118">
        <f t="shared" si="19"/>
        <v>0.23076923076923084</v>
      </c>
      <c r="I190" s="117">
        <v>281</v>
      </c>
      <c r="J190" s="118">
        <f t="shared" si="19"/>
        <v>3.3088235294117752E-2</v>
      </c>
      <c r="K190" s="117">
        <v>221</v>
      </c>
      <c r="L190" s="118">
        <f t="shared" si="20"/>
        <v>-0.21352313167259784</v>
      </c>
    </row>
    <row r="191" spans="1:13" x14ac:dyDescent="0.25">
      <c r="B191" s="116" t="s">
        <v>88</v>
      </c>
      <c r="C191" s="117">
        <v>406</v>
      </c>
      <c r="D191" s="118">
        <v>0.9061032863849765</v>
      </c>
      <c r="E191" s="117">
        <v>396</v>
      </c>
      <c r="F191" s="118">
        <f t="shared" si="19"/>
        <v>-2.4630541871921152E-2</v>
      </c>
      <c r="G191" s="117">
        <v>325</v>
      </c>
      <c r="H191" s="118">
        <f t="shared" si="19"/>
        <v>-0.17929292929292928</v>
      </c>
      <c r="I191" s="117">
        <v>634</v>
      </c>
      <c r="J191" s="118">
        <f t="shared" si="19"/>
        <v>0.95076923076923081</v>
      </c>
      <c r="K191" s="117">
        <v>483</v>
      </c>
      <c r="L191" s="118">
        <f t="shared" si="20"/>
        <v>-0.23817034700315454</v>
      </c>
    </row>
    <row r="192" spans="1:13" x14ac:dyDescent="0.25">
      <c r="B192" s="116" t="s">
        <v>90</v>
      </c>
      <c r="C192" s="117">
        <v>450</v>
      </c>
      <c r="D192" s="118">
        <v>0.55709342560553643</v>
      </c>
      <c r="E192" s="117">
        <v>416</v>
      </c>
      <c r="F192" s="118">
        <f t="shared" si="19"/>
        <v>-7.5555555555555598E-2</v>
      </c>
      <c r="G192" s="117">
        <v>463</v>
      </c>
      <c r="H192" s="118">
        <f t="shared" si="19"/>
        <v>0.11298076923076916</v>
      </c>
      <c r="I192" s="117">
        <v>603</v>
      </c>
      <c r="J192" s="118">
        <f t="shared" si="19"/>
        <v>0.30237580993520519</v>
      </c>
      <c r="K192" s="117"/>
      <c r="L192" s="118"/>
    </row>
    <row r="193" spans="2:13" x14ac:dyDescent="0.25">
      <c r="B193" s="116" t="s">
        <v>92</v>
      </c>
      <c r="C193" s="117">
        <v>243</v>
      </c>
      <c r="D193" s="118">
        <v>-6.5384615384615374E-2</v>
      </c>
      <c r="E193" s="117">
        <v>288</v>
      </c>
      <c r="F193" s="118">
        <f t="shared" si="19"/>
        <v>0.18518518518518512</v>
      </c>
      <c r="G193" s="117">
        <v>439</v>
      </c>
      <c r="H193" s="118">
        <f t="shared" si="19"/>
        <v>0.52430555555555558</v>
      </c>
      <c r="I193" s="117">
        <v>481</v>
      </c>
      <c r="J193" s="118">
        <f t="shared" si="19"/>
        <v>9.567198177676528E-2</v>
      </c>
      <c r="K193" s="117"/>
      <c r="L193" s="118"/>
    </row>
    <row r="194" spans="2:13" x14ac:dyDescent="0.25">
      <c r="B194" s="116" t="s">
        <v>94</v>
      </c>
      <c r="C194" s="117">
        <v>291</v>
      </c>
      <c r="D194" s="118">
        <v>-0.29197080291970801</v>
      </c>
      <c r="E194" s="117">
        <v>386</v>
      </c>
      <c r="F194" s="118">
        <f t="shared" si="19"/>
        <v>0.32646048109965631</v>
      </c>
      <c r="G194" s="117">
        <v>369</v>
      </c>
      <c r="H194" s="118">
        <f t="shared" si="19"/>
        <v>-4.4041450777202118E-2</v>
      </c>
      <c r="I194" s="117">
        <v>582</v>
      </c>
      <c r="J194" s="118">
        <f t="shared" si="19"/>
        <v>0.5772357723577235</v>
      </c>
      <c r="K194" s="117"/>
      <c r="L194" s="118"/>
    </row>
    <row r="195" spans="2:13" x14ac:dyDescent="0.25">
      <c r="B195" s="116" t="s">
        <v>96</v>
      </c>
      <c r="C195" s="117">
        <v>472</v>
      </c>
      <c r="D195" s="118">
        <v>-0.56577736890524377</v>
      </c>
      <c r="E195" s="117">
        <v>961</v>
      </c>
      <c r="F195" s="118">
        <f t="shared" si="19"/>
        <v>1.0360169491525424</v>
      </c>
      <c r="G195" s="117">
        <v>532</v>
      </c>
      <c r="H195" s="118">
        <f t="shared" si="19"/>
        <v>-0.44640998959417277</v>
      </c>
      <c r="I195" s="117">
        <v>838</v>
      </c>
      <c r="J195" s="118">
        <f t="shared" si="19"/>
        <v>0.57518796992481214</v>
      </c>
      <c r="K195" s="117"/>
      <c r="L195" s="118"/>
    </row>
    <row r="196" spans="2:13" x14ac:dyDescent="0.25">
      <c r="B196" s="116" t="s">
        <v>98</v>
      </c>
      <c r="C196" s="117">
        <v>662</v>
      </c>
      <c r="D196" s="118">
        <v>0.21023765996343702</v>
      </c>
      <c r="E196" s="117">
        <v>674</v>
      </c>
      <c r="F196" s="118">
        <f t="shared" si="19"/>
        <v>1.812688821752273E-2</v>
      </c>
      <c r="G196" s="117">
        <v>812</v>
      </c>
      <c r="H196" s="118">
        <f t="shared" si="19"/>
        <v>0.20474777448071224</v>
      </c>
      <c r="I196" s="117">
        <v>797</v>
      </c>
      <c r="J196" s="118">
        <f t="shared" si="19"/>
        <v>-1.8472906403940836E-2</v>
      </c>
      <c r="K196" s="117"/>
      <c r="L196" s="118"/>
    </row>
    <row r="197" spans="2:13" ht="15.75" x14ac:dyDescent="0.25">
      <c r="B197" s="119" t="s">
        <v>32</v>
      </c>
      <c r="C197" s="120">
        <v>4851</v>
      </c>
      <c r="D197" s="121">
        <v>0.4060869565217391</v>
      </c>
      <c r="E197" s="120">
        <v>6010</v>
      </c>
      <c r="F197" s="121">
        <f t="shared" si="19"/>
        <v>0.23891981034838183</v>
      </c>
      <c r="G197" s="120">
        <v>5932</v>
      </c>
      <c r="H197" s="121">
        <f t="shared" si="19"/>
        <v>-1.2978369384359367E-2</v>
      </c>
      <c r="I197" s="120">
        <v>6825</v>
      </c>
      <c r="J197" s="121">
        <f t="shared" si="19"/>
        <v>0.15053944706675648</v>
      </c>
      <c r="K197" s="120">
        <v>3728</v>
      </c>
      <c r="L197" s="121">
        <v>5.7888762769580104E-2</v>
      </c>
    </row>
    <row r="198" spans="2:13" ht="6" customHeight="1" x14ac:dyDescent="0.25"/>
    <row r="199" spans="2:13" x14ac:dyDescent="0.25">
      <c r="B199" s="107" t="s">
        <v>57</v>
      </c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</row>
    <row r="200" spans="2:13" x14ac:dyDescent="0.25">
      <c r="C200" s="122"/>
      <c r="I200" s="122"/>
      <c r="L200" s="81"/>
    </row>
    <row r="202" spans="2:13" ht="48.75" customHeight="1" thickBot="1" x14ac:dyDescent="0.3">
      <c r="B202" s="273" t="s">
        <v>290</v>
      </c>
      <c r="C202" s="273"/>
      <c r="D202" s="273"/>
      <c r="E202" s="273"/>
      <c r="F202" s="273"/>
      <c r="G202" s="273"/>
      <c r="H202" s="273"/>
      <c r="I202" s="273"/>
      <c r="J202" s="273"/>
      <c r="K202" s="273"/>
      <c r="L202" s="273"/>
      <c r="M202" s="1" t="s">
        <v>126</v>
      </c>
    </row>
    <row r="203" spans="2:13" ht="10.5" customHeight="1" thickBot="1" x14ac:dyDescent="0.3">
      <c r="B203" s="109"/>
      <c r="C203" s="110"/>
      <c r="D203" s="109"/>
      <c r="E203" s="109"/>
      <c r="F203" s="109"/>
      <c r="G203" s="109"/>
      <c r="H203" s="109"/>
      <c r="I203" s="109"/>
      <c r="J203" s="109"/>
      <c r="K203" s="4"/>
      <c r="L203" s="4"/>
      <c r="M203" s="1" t="s">
        <v>127</v>
      </c>
    </row>
    <row r="204" spans="2:13" ht="22.5" thickTop="1" thickBot="1" x14ac:dyDescent="0.3">
      <c r="B204" s="123" t="str">
        <f>C204</f>
        <v>Países Bajos</v>
      </c>
      <c r="C204" s="298" t="s">
        <v>128</v>
      </c>
      <c r="D204" s="299"/>
      <c r="E204" s="299"/>
      <c r="F204" s="299"/>
      <c r="G204" s="299"/>
      <c r="H204" s="299"/>
      <c r="I204" s="299"/>
      <c r="J204" s="299"/>
      <c r="K204" s="299"/>
      <c r="L204" s="299"/>
    </row>
    <row r="205" spans="2:13" ht="22.5" thickTop="1" thickBot="1" x14ac:dyDescent="0.3">
      <c r="B205" s="112"/>
      <c r="C205" s="303">
        <f>$C$7</f>
        <v>2022</v>
      </c>
      <c r="D205" s="301"/>
      <c r="E205" s="300">
        <f>$E$7</f>
        <v>2023</v>
      </c>
      <c r="F205" s="301"/>
      <c r="G205" s="300">
        <f>$G$7</f>
        <v>2024</v>
      </c>
      <c r="H205" s="301"/>
      <c r="I205" s="300">
        <f>$I$7</f>
        <v>2025</v>
      </c>
      <c r="J205" s="301"/>
      <c r="K205" s="300">
        <f>$K$7</f>
        <v>2026</v>
      </c>
      <c r="L205" s="302"/>
    </row>
    <row r="206" spans="2:13" ht="16.5" thickTop="1" thickBot="1" x14ac:dyDescent="0.3">
      <c r="B206" s="87"/>
      <c r="C206" s="113" t="s">
        <v>74</v>
      </c>
      <c r="D206" s="114" t="str">
        <f>CONCATENATE("var. ",RIGHT(C205,2),"/",RIGHT(C205-1,2))</f>
        <v>var. 22/21</v>
      </c>
      <c r="E206" s="115" t="s">
        <v>74</v>
      </c>
      <c r="F206" s="114" t="s">
        <v>259</v>
      </c>
      <c r="G206" s="115" t="s">
        <v>74</v>
      </c>
      <c r="H206" s="114" t="s">
        <v>259</v>
      </c>
      <c r="I206" s="115" t="s">
        <v>74</v>
      </c>
      <c r="J206" s="114" t="s">
        <v>259</v>
      </c>
      <c r="K206" s="115" t="s">
        <v>74</v>
      </c>
      <c r="L206" s="114" t="s">
        <v>282</v>
      </c>
    </row>
    <row r="207" spans="2:13" x14ac:dyDescent="0.25">
      <c r="B207" s="116" t="s">
        <v>76</v>
      </c>
      <c r="C207" s="117">
        <v>841</v>
      </c>
      <c r="D207" s="118">
        <v>9.5124999999999993</v>
      </c>
      <c r="E207" s="117">
        <v>839</v>
      </c>
      <c r="F207" s="118">
        <f t="shared" ref="F207:J219" si="21">IFERROR(E207/C207-1,"-")</f>
        <v>-2.3781212841854638E-3</v>
      </c>
      <c r="G207" s="117">
        <v>913</v>
      </c>
      <c r="H207" s="118">
        <f t="shared" si="21"/>
        <v>8.8200238379022577E-2</v>
      </c>
      <c r="I207" s="117">
        <v>1114</v>
      </c>
      <c r="J207" s="118">
        <f t="shared" si="21"/>
        <v>0.22015334063526826</v>
      </c>
      <c r="K207" s="117">
        <v>1042</v>
      </c>
      <c r="L207" s="118">
        <f t="shared" ref="L207:L213" si="22">IFERROR(K207/I207-1,"-")</f>
        <v>-6.4631956912028721E-2</v>
      </c>
    </row>
    <row r="208" spans="2:13" x14ac:dyDescent="0.25">
      <c r="B208" s="116" t="s">
        <v>78</v>
      </c>
      <c r="C208" s="117">
        <v>652</v>
      </c>
      <c r="D208" s="118">
        <v>9.0307692307692307</v>
      </c>
      <c r="E208" s="117">
        <v>647</v>
      </c>
      <c r="F208" s="118">
        <f t="shared" si="21"/>
        <v>-7.6687116564416735E-3</v>
      </c>
      <c r="G208" s="117">
        <v>794</v>
      </c>
      <c r="H208" s="118">
        <f t="shared" si="21"/>
        <v>0.22720247295208651</v>
      </c>
      <c r="I208" s="117">
        <v>881</v>
      </c>
      <c r="J208" s="118">
        <f t="shared" si="21"/>
        <v>0.10957178841309823</v>
      </c>
      <c r="K208" s="117">
        <v>953</v>
      </c>
      <c r="L208" s="118">
        <f t="shared" si="22"/>
        <v>8.1725312145289442E-2</v>
      </c>
    </row>
    <row r="209" spans="2:13" x14ac:dyDescent="0.25">
      <c r="B209" s="116" t="s">
        <v>80</v>
      </c>
      <c r="C209" s="117">
        <v>550</v>
      </c>
      <c r="D209" s="118">
        <v>3.8672566371681416</v>
      </c>
      <c r="E209" s="117">
        <v>645</v>
      </c>
      <c r="F209" s="118">
        <f t="shared" si="21"/>
        <v>0.17272727272727262</v>
      </c>
      <c r="G209" s="117">
        <v>658</v>
      </c>
      <c r="H209" s="118">
        <f t="shared" si="21"/>
        <v>2.0155038759689825E-2</v>
      </c>
      <c r="I209" s="117">
        <v>653</v>
      </c>
      <c r="J209" s="118">
        <f t="shared" si="21"/>
        <v>-7.5987841945288626E-3</v>
      </c>
      <c r="K209" s="117">
        <v>996</v>
      </c>
      <c r="L209" s="118">
        <f t="shared" si="22"/>
        <v>0.5252679938744258</v>
      </c>
    </row>
    <row r="210" spans="2:13" x14ac:dyDescent="0.25">
      <c r="B210" s="116" t="s">
        <v>82</v>
      </c>
      <c r="C210" s="117">
        <v>388</v>
      </c>
      <c r="D210" s="118">
        <v>3.2637362637362637</v>
      </c>
      <c r="E210" s="117">
        <v>482</v>
      </c>
      <c r="F210" s="118">
        <f t="shared" si="21"/>
        <v>0.24226804123711343</v>
      </c>
      <c r="G210" s="117">
        <v>538</v>
      </c>
      <c r="H210" s="118">
        <f t="shared" si="21"/>
        <v>0.11618257261410792</v>
      </c>
      <c r="I210" s="117">
        <v>382</v>
      </c>
      <c r="J210" s="118">
        <f t="shared" si="21"/>
        <v>-0.28996282527881045</v>
      </c>
      <c r="K210" s="117">
        <v>576</v>
      </c>
      <c r="L210" s="118">
        <f t="shared" si="22"/>
        <v>0.50785340314136129</v>
      </c>
    </row>
    <row r="211" spans="2:13" x14ac:dyDescent="0.25">
      <c r="B211" s="116" t="s">
        <v>84</v>
      </c>
      <c r="C211" s="117">
        <v>435</v>
      </c>
      <c r="D211" s="118">
        <v>3.6276595744680851</v>
      </c>
      <c r="E211" s="117">
        <v>431</v>
      </c>
      <c r="F211" s="118">
        <f t="shared" si="21"/>
        <v>-9.1954022988506301E-3</v>
      </c>
      <c r="G211" s="117">
        <v>534</v>
      </c>
      <c r="H211" s="118">
        <f t="shared" si="21"/>
        <v>0.23897911832946628</v>
      </c>
      <c r="I211" s="117">
        <v>431</v>
      </c>
      <c r="J211" s="118">
        <f t="shared" si="21"/>
        <v>-0.19288389513108617</v>
      </c>
      <c r="K211" s="117">
        <v>386</v>
      </c>
      <c r="L211" s="118">
        <f t="shared" si="22"/>
        <v>-0.10440835266821347</v>
      </c>
    </row>
    <row r="212" spans="2:13" x14ac:dyDescent="0.25">
      <c r="B212" s="116" t="s">
        <v>86</v>
      </c>
      <c r="C212" s="117">
        <v>373</v>
      </c>
      <c r="D212" s="118">
        <v>0.89340101522842641</v>
      </c>
      <c r="E212" s="117">
        <v>225</v>
      </c>
      <c r="F212" s="118">
        <f t="shared" si="21"/>
        <v>-0.39678284182305634</v>
      </c>
      <c r="G212" s="117">
        <v>267</v>
      </c>
      <c r="H212" s="118">
        <f t="shared" si="21"/>
        <v>0.18666666666666676</v>
      </c>
      <c r="I212" s="117">
        <v>360</v>
      </c>
      <c r="J212" s="118">
        <f t="shared" si="21"/>
        <v>0.348314606741573</v>
      </c>
      <c r="K212" s="117">
        <v>512</v>
      </c>
      <c r="L212" s="118">
        <f t="shared" si="22"/>
        <v>0.42222222222222228</v>
      </c>
    </row>
    <row r="213" spans="2:13" x14ac:dyDescent="0.25">
      <c r="B213" s="116" t="s">
        <v>88</v>
      </c>
      <c r="C213" s="117">
        <v>244</v>
      </c>
      <c r="D213" s="118">
        <v>-0.42990654205607481</v>
      </c>
      <c r="E213" s="117">
        <v>595</v>
      </c>
      <c r="F213" s="118">
        <f t="shared" si="21"/>
        <v>1.4385245901639343</v>
      </c>
      <c r="G213" s="117">
        <v>431</v>
      </c>
      <c r="H213" s="118">
        <f t="shared" si="21"/>
        <v>-0.27563025210084036</v>
      </c>
      <c r="I213" s="117">
        <v>835</v>
      </c>
      <c r="J213" s="118">
        <f t="shared" si="21"/>
        <v>0.93735498839907194</v>
      </c>
      <c r="K213" s="117">
        <v>745</v>
      </c>
      <c r="L213" s="118">
        <f t="shared" si="22"/>
        <v>-0.10778443113772451</v>
      </c>
    </row>
    <row r="214" spans="2:13" x14ac:dyDescent="0.25">
      <c r="B214" s="116" t="s">
        <v>90</v>
      </c>
      <c r="C214" s="117">
        <v>636</v>
      </c>
      <c r="D214" s="118">
        <v>0.5626535626535627</v>
      </c>
      <c r="E214" s="117">
        <v>720</v>
      </c>
      <c r="F214" s="118">
        <f t="shared" si="21"/>
        <v>0.13207547169811318</v>
      </c>
      <c r="G214" s="117">
        <v>977</v>
      </c>
      <c r="H214" s="118">
        <f t="shared" si="21"/>
        <v>0.35694444444444451</v>
      </c>
      <c r="I214" s="117">
        <v>935</v>
      </c>
      <c r="J214" s="118">
        <f t="shared" si="21"/>
        <v>-4.2988741044012291E-2</v>
      </c>
      <c r="K214" s="117"/>
      <c r="L214" s="118"/>
    </row>
    <row r="215" spans="2:13" x14ac:dyDescent="0.25">
      <c r="B215" s="116" t="s">
        <v>92</v>
      </c>
      <c r="C215" s="117">
        <v>373</v>
      </c>
      <c r="D215" s="118">
        <v>0.13373860182370811</v>
      </c>
      <c r="E215" s="117">
        <v>576</v>
      </c>
      <c r="F215" s="118">
        <f t="shared" si="21"/>
        <v>0.54423592493297579</v>
      </c>
      <c r="G215" s="117">
        <v>351</v>
      </c>
      <c r="H215" s="118">
        <f t="shared" si="21"/>
        <v>-0.390625</v>
      </c>
      <c r="I215" s="117">
        <v>970</v>
      </c>
      <c r="J215" s="118">
        <f t="shared" si="21"/>
        <v>1.7635327635327633</v>
      </c>
      <c r="K215" s="117"/>
      <c r="L215" s="118"/>
    </row>
    <row r="216" spans="2:13" x14ac:dyDescent="0.25">
      <c r="B216" s="116" t="s">
        <v>94</v>
      </c>
      <c r="C216" s="117">
        <v>371</v>
      </c>
      <c r="D216" s="118">
        <v>-9.5121951219512169E-2</v>
      </c>
      <c r="E216" s="117">
        <v>441</v>
      </c>
      <c r="F216" s="118">
        <f t="shared" si="21"/>
        <v>0.18867924528301883</v>
      </c>
      <c r="G216" s="117">
        <v>517</v>
      </c>
      <c r="H216" s="118">
        <f t="shared" si="21"/>
        <v>0.17233560090702937</v>
      </c>
      <c r="I216" s="117">
        <v>609</v>
      </c>
      <c r="J216" s="118">
        <f t="shared" si="21"/>
        <v>0.17794970986460346</v>
      </c>
      <c r="K216" s="117"/>
      <c r="L216" s="118"/>
    </row>
    <row r="217" spans="2:13" x14ac:dyDescent="0.25">
      <c r="B217" s="116" t="s">
        <v>96</v>
      </c>
      <c r="C217" s="117">
        <v>765</v>
      </c>
      <c r="D217" s="118">
        <v>0.10389610389610393</v>
      </c>
      <c r="E217" s="117">
        <v>827</v>
      </c>
      <c r="F217" s="118">
        <f t="shared" si="21"/>
        <v>8.1045751633986862E-2</v>
      </c>
      <c r="G217" s="117">
        <v>704</v>
      </c>
      <c r="H217" s="118">
        <f t="shared" si="21"/>
        <v>-0.14873035066505447</v>
      </c>
      <c r="I217" s="117">
        <v>773</v>
      </c>
      <c r="J217" s="118">
        <f t="shared" si="21"/>
        <v>9.8011363636363535E-2</v>
      </c>
      <c r="K217" s="117"/>
      <c r="L217" s="118"/>
    </row>
    <row r="218" spans="2:13" x14ac:dyDescent="0.25">
      <c r="B218" s="116" t="s">
        <v>98</v>
      </c>
      <c r="C218" s="117">
        <v>835</v>
      </c>
      <c r="D218" s="118">
        <v>8.3009079118028462E-2</v>
      </c>
      <c r="E218" s="117">
        <v>981</v>
      </c>
      <c r="F218" s="118">
        <f t="shared" si="21"/>
        <v>0.17485029940119756</v>
      </c>
      <c r="G218" s="117">
        <v>744</v>
      </c>
      <c r="H218" s="118">
        <f t="shared" si="21"/>
        <v>-0.24159021406727832</v>
      </c>
      <c r="I218" s="117">
        <v>814</v>
      </c>
      <c r="J218" s="118">
        <f t="shared" si="21"/>
        <v>9.4086021505376261E-2</v>
      </c>
      <c r="K218" s="117"/>
      <c r="L218" s="118"/>
    </row>
    <row r="219" spans="2:13" ht="15.75" x14ac:dyDescent="0.25">
      <c r="B219" s="119" t="s">
        <v>32</v>
      </c>
      <c r="C219" s="120">
        <v>6463</v>
      </c>
      <c r="D219" s="121">
        <v>0.75720500271886904</v>
      </c>
      <c r="E219" s="120">
        <v>7409</v>
      </c>
      <c r="F219" s="121">
        <f t="shared" si="21"/>
        <v>0.1463716540306359</v>
      </c>
      <c r="G219" s="120">
        <v>7428</v>
      </c>
      <c r="H219" s="121">
        <f t="shared" si="21"/>
        <v>2.5644486435416614E-3</v>
      </c>
      <c r="I219" s="120">
        <v>8757</v>
      </c>
      <c r="J219" s="121">
        <f t="shared" si="21"/>
        <v>0.17891760904684983</v>
      </c>
      <c r="K219" s="120">
        <v>5210</v>
      </c>
      <c r="L219" s="121">
        <v>0.11898625429553267</v>
      </c>
    </row>
    <row r="220" spans="2:13" ht="6" customHeight="1" x14ac:dyDescent="0.25"/>
    <row r="221" spans="2:13" x14ac:dyDescent="0.25">
      <c r="B221" s="107" t="s">
        <v>57</v>
      </c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</row>
    <row r="222" spans="2:13" x14ac:dyDescent="0.25">
      <c r="C222" s="122"/>
      <c r="I222" s="122"/>
      <c r="L222" s="81"/>
    </row>
    <row r="224" spans="2:13" ht="48.75" customHeight="1" thickBot="1" x14ac:dyDescent="0.3">
      <c r="B224" s="273" t="s">
        <v>291</v>
      </c>
      <c r="C224" s="273"/>
      <c r="D224" s="273"/>
      <c r="E224" s="273"/>
      <c r="F224" s="273"/>
      <c r="G224" s="273"/>
      <c r="H224" s="273"/>
      <c r="I224" s="273"/>
      <c r="J224" s="273"/>
      <c r="K224" s="273"/>
      <c r="L224" s="273"/>
      <c r="M224" s="1" t="s">
        <v>152</v>
      </c>
    </row>
    <row r="225" spans="2:13" ht="10.5" customHeight="1" thickBot="1" x14ac:dyDescent="0.3">
      <c r="B225" s="109"/>
      <c r="C225" s="110"/>
      <c r="D225" s="109"/>
      <c r="E225" s="109"/>
      <c r="F225" s="109"/>
      <c r="G225" s="109"/>
      <c r="H225" s="109"/>
      <c r="I225" s="109"/>
      <c r="J225" s="109"/>
      <c r="K225" s="4"/>
      <c r="L225" s="4"/>
      <c r="M225" s="1" t="s">
        <v>153</v>
      </c>
    </row>
    <row r="226" spans="2:13" ht="22.5" thickTop="1" thickBot="1" x14ac:dyDescent="0.3">
      <c r="B226" s="123" t="str">
        <f>C226</f>
        <v>Dinamarca</v>
      </c>
      <c r="C226" s="298" t="s">
        <v>133</v>
      </c>
      <c r="D226" s="299"/>
      <c r="E226" s="299"/>
      <c r="F226" s="299"/>
      <c r="G226" s="299"/>
      <c r="H226" s="299"/>
      <c r="I226" s="299"/>
      <c r="J226" s="299"/>
      <c r="K226" s="299"/>
      <c r="L226" s="299"/>
    </row>
    <row r="227" spans="2:13" ht="22.5" thickTop="1" thickBot="1" x14ac:dyDescent="0.3">
      <c r="B227" s="112"/>
      <c r="C227" s="303">
        <f>$C$7</f>
        <v>2022</v>
      </c>
      <c r="D227" s="301"/>
      <c r="E227" s="300">
        <f>$E$7</f>
        <v>2023</v>
      </c>
      <c r="F227" s="301"/>
      <c r="G227" s="300">
        <f>$G$7</f>
        <v>2024</v>
      </c>
      <c r="H227" s="301"/>
      <c r="I227" s="300">
        <f>$I$7</f>
        <v>2025</v>
      </c>
      <c r="J227" s="301"/>
      <c r="K227" s="300">
        <f>$K$7</f>
        <v>2026</v>
      </c>
      <c r="L227" s="302"/>
    </row>
    <row r="228" spans="2:13" ht="16.5" thickTop="1" thickBot="1" x14ac:dyDescent="0.3">
      <c r="B228" s="87"/>
      <c r="C228" s="113" t="s">
        <v>74</v>
      </c>
      <c r="D228" s="114" t="str">
        <f>CONCATENATE("var. ",RIGHT(C227,2),"/",RIGHT(C227-1,2))</f>
        <v>var. 22/21</v>
      </c>
      <c r="E228" s="115" t="s">
        <v>74</v>
      </c>
      <c r="F228" s="114" t="s">
        <v>259</v>
      </c>
      <c r="G228" s="115" t="s">
        <v>74</v>
      </c>
      <c r="H228" s="114" t="s">
        <v>259</v>
      </c>
      <c r="I228" s="115" t="s">
        <v>74</v>
      </c>
      <c r="J228" s="114" t="s">
        <v>259</v>
      </c>
      <c r="K228" s="115" t="s">
        <v>74</v>
      </c>
      <c r="L228" s="114" t="s">
        <v>282</v>
      </c>
    </row>
    <row r="229" spans="2:13" x14ac:dyDescent="0.25">
      <c r="B229" s="116" t="s">
        <v>76</v>
      </c>
      <c r="C229" s="117">
        <v>507</v>
      </c>
      <c r="D229" s="118">
        <v>125.75</v>
      </c>
      <c r="E229" s="117">
        <v>531</v>
      </c>
      <c r="F229" s="118">
        <f t="shared" ref="F229:J241" si="23">IFERROR(E229/C229-1,"-")</f>
        <v>4.7337278106508895E-2</v>
      </c>
      <c r="G229" s="117">
        <v>839</v>
      </c>
      <c r="H229" s="118">
        <f t="shared" si="23"/>
        <v>0.58003766478342755</v>
      </c>
      <c r="I229" s="117">
        <v>555</v>
      </c>
      <c r="J229" s="118">
        <f t="shared" si="23"/>
        <v>-0.33849821215733011</v>
      </c>
      <c r="K229" s="117">
        <v>571</v>
      </c>
      <c r="L229" s="118">
        <f t="shared" ref="L229:L235" si="24">IFERROR(K229/I229-1,"-")</f>
        <v>2.8828828828828756E-2</v>
      </c>
    </row>
    <row r="230" spans="2:13" x14ac:dyDescent="0.25">
      <c r="B230" s="116" t="s">
        <v>78</v>
      </c>
      <c r="C230" s="117">
        <v>218</v>
      </c>
      <c r="D230" s="118">
        <v>53.5</v>
      </c>
      <c r="E230" s="117">
        <v>389</v>
      </c>
      <c r="F230" s="118">
        <f t="shared" si="23"/>
        <v>0.78440366972477071</v>
      </c>
      <c r="G230" s="117">
        <v>667</v>
      </c>
      <c r="H230" s="118">
        <f t="shared" si="23"/>
        <v>0.71465295629820047</v>
      </c>
      <c r="I230" s="117">
        <v>428</v>
      </c>
      <c r="J230" s="118">
        <f t="shared" si="23"/>
        <v>-0.35832083958020988</v>
      </c>
      <c r="K230" s="117">
        <v>412</v>
      </c>
      <c r="L230" s="118">
        <f t="shared" si="24"/>
        <v>-3.7383177570093462E-2</v>
      </c>
    </row>
    <row r="231" spans="2:13" x14ac:dyDescent="0.25">
      <c r="B231" s="116" t="s">
        <v>80</v>
      </c>
      <c r="C231" s="117">
        <v>305</v>
      </c>
      <c r="D231" s="118">
        <v>32.888888888888886</v>
      </c>
      <c r="E231" s="117">
        <v>538</v>
      </c>
      <c r="F231" s="118">
        <f t="shared" si="23"/>
        <v>0.76393442622950825</v>
      </c>
      <c r="G231" s="117">
        <v>523</v>
      </c>
      <c r="H231" s="118">
        <f t="shared" si="23"/>
        <v>-2.7881040892193343E-2</v>
      </c>
      <c r="I231" s="117">
        <v>403</v>
      </c>
      <c r="J231" s="118">
        <f t="shared" si="23"/>
        <v>-0.22944550669216057</v>
      </c>
      <c r="K231" s="117">
        <v>329</v>
      </c>
      <c r="L231" s="118">
        <f t="shared" si="24"/>
        <v>-0.18362282878411906</v>
      </c>
    </row>
    <row r="232" spans="2:13" x14ac:dyDescent="0.25">
      <c r="B232" s="116" t="s">
        <v>82</v>
      </c>
      <c r="C232" s="117">
        <v>251</v>
      </c>
      <c r="D232" s="118">
        <v>12.210526315789474</v>
      </c>
      <c r="E232" s="117">
        <v>210</v>
      </c>
      <c r="F232" s="118">
        <f t="shared" si="23"/>
        <v>-0.1633466135458167</v>
      </c>
      <c r="G232" s="117">
        <v>220</v>
      </c>
      <c r="H232" s="118">
        <f t="shared" si="23"/>
        <v>4.7619047619047672E-2</v>
      </c>
      <c r="I232" s="117">
        <v>184</v>
      </c>
      <c r="J232" s="118">
        <f t="shared" si="23"/>
        <v>-0.16363636363636369</v>
      </c>
      <c r="K232" s="117">
        <v>202</v>
      </c>
      <c r="L232" s="118">
        <f t="shared" si="24"/>
        <v>9.7826086956521729E-2</v>
      </c>
    </row>
    <row r="233" spans="2:13" x14ac:dyDescent="0.25">
      <c r="B233" s="116" t="s">
        <v>84</v>
      </c>
      <c r="C233" s="117">
        <v>88</v>
      </c>
      <c r="D233" s="118">
        <v>3.6315789473684212</v>
      </c>
      <c r="E233" s="117">
        <v>51</v>
      </c>
      <c r="F233" s="118">
        <f t="shared" si="23"/>
        <v>-0.42045454545454541</v>
      </c>
      <c r="G233" s="117">
        <v>37</v>
      </c>
      <c r="H233" s="118">
        <f t="shared" si="23"/>
        <v>-0.27450980392156865</v>
      </c>
      <c r="I233" s="117">
        <v>24</v>
      </c>
      <c r="J233" s="118">
        <f t="shared" si="23"/>
        <v>-0.35135135135135132</v>
      </c>
      <c r="K233" s="117">
        <v>71</v>
      </c>
      <c r="L233" s="118">
        <f t="shared" si="24"/>
        <v>1.9583333333333335</v>
      </c>
    </row>
    <row r="234" spans="2:13" x14ac:dyDescent="0.25">
      <c r="B234" s="116" t="s">
        <v>86</v>
      </c>
      <c r="C234" s="117">
        <v>91</v>
      </c>
      <c r="D234" s="118">
        <v>5.0666666666666664</v>
      </c>
      <c r="E234" s="117">
        <v>162</v>
      </c>
      <c r="F234" s="118">
        <f t="shared" si="23"/>
        <v>0.78021978021978011</v>
      </c>
      <c r="G234" s="117">
        <v>228</v>
      </c>
      <c r="H234" s="118">
        <f t="shared" si="23"/>
        <v>0.40740740740740744</v>
      </c>
      <c r="I234" s="117">
        <v>75</v>
      </c>
      <c r="J234" s="118">
        <f t="shared" si="23"/>
        <v>-0.67105263157894735</v>
      </c>
      <c r="K234" s="117">
        <v>80</v>
      </c>
      <c r="L234" s="118">
        <f t="shared" si="24"/>
        <v>6.6666666666666652E-2</v>
      </c>
    </row>
    <row r="235" spans="2:13" x14ac:dyDescent="0.25">
      <c r="B235" s="116" t="s">
        <v>88</v>
      </c>
      <c r="C235" s="117">
        <v>118</v>
      </c>
      <c r="D235" s="118">
        <v>8.256880733944949E-2</v>
      </c>
      <c r="E235" s="117">
        <v>146</v>
      </c>
      <c r="F235" s="118">
        <f t="shared" si="23"/>
        <v>0.23728813559322037</v>
      </c>
      <c r="G235" s="117">
        <v>319</v>
      </c>
      <c r="H235" s="118">
        <f t="shared" si="23"/>
        <v>1.1849315068493151</v>
      </c>
      <c r="I235" s="117">
        <v>102</v>
      </c>
      <c r="J235" s="118">
        <f t="shared" si="23"/>
        <v>-0.68025078369905956</v>
      </c>
      <c r="K235" s="117">
        <v>21</v>
      </c>
      <c r="L235" s="118">
        <f t="shared" si="24"/>
        <v>-0.79411764705882359</v>
      </c>
    </row>
    <row r="236" spans="2:13" x14ac:dyDescent="0.25">
      <c r="B236" s="116" t="s">
        <v>90</v>
      </c>
      <c r="C236" s="117">
        <v>75</v>
      </c>
      <c r="D236" s="118">
        <v>4.1666666666666741E-2</v>
      </c>
      <c r="E236" s="117">
        <v>234</v>
      </c>
      <c r="F236" s="118">
        <f t="shared" si="23"/>
        <v>2.12</v>
      </c>
      <c r="G236" s="117">
        <v>102</v>
      </c>
      <c r="H236" s="118">
        <f t="shared" si="23"/>
        <v>-0.5641025641025641</v>
      </c>
      <c r="I236" s="117">
        <v>101</v>
      </c>
      <c r="J236" s="118">
        <f t="shared" si="23"/>
        <v>-9.8039215686274161E-3</v>
      </c>
      <c r="K236" s="117"/>
      <c r="L236" s="118"/>
    </row>
    <row r="237" spans="2:13" x14ac:dyDescent="0.25">
      <c r="B237" s="116" t="s">
        <v>92</v>
      </c>
      <c r="C237" s="117">
        <v>50</v>
      </c>
      <c r="D237" s="118">
        <v>-0.13793103448275867</v>
      </c>
      <c r="E237" s="117">
        <v>136</v>
      </c>
      <c r="F237" s="118">
        <f t="shared" si="23"/>
        <v>1.7200000000000002</v>
      </c>
      <c r="G237" s="117">
        <v>55</v>
      </c>
      <c r="H237" s="118">
        <f t="shared" si="23"/>
        <v>-0.59558823529411764</v>
      </c>
      <c r="I237" s="117">
        <v>120</v>
      </c>
      <c r="J237" s="118">
        <f t="shared" si="23"/>
        <v>1.1818181818181817</v>
      </c>
      <c r="K237" s="117"/>
      <c r="L237" s="118"/>
    </row>
    <row r="238" spans="2:13" x14ac:dyDescent="0.25">
      <c r="B238" s="116" t="s">
        <v>94</v>
      </c>
      <c r="C238" s="117">
        <v>275</v>
      </c>
      <c r="D238" s="118">
        <v>0.10000000000000009</v>
      </c>
      <c r="E238" s="117">
        <v>223</v>
      </c>
      <c r="F238" s="118">
        <f t="shared" si="23"/>
        <v>-0.18909090909090909</v>
      </c>
      <c r="G238" s="117">
        <v>251</v>
      </c>
      <c r="H238" s="118">
        <f t="shared" si="23"/>
        <v>0.12556053811659185</v>
      </c>
      <c r="I238" s="117">
        <v>121</v>
      </c>
      <c r="J238" s="118">
        <f t="shared" si="23"/>
        <v>-0.51792828685258963</v>
      </c>
      <c r="K238" s="117"/>
      <c r="L238" s="118"/>
    </row>
    <row r="239" spans="2:13" x14ac:dyDescent="0.25">
      <c r="B239" s="116" t="s">
        <v>96</v>
      </c>
      <c r="C239" s="117">
        <v>369</v>
      </c>
      <c r="D239" s="118">
        <v>-0.11933174224343679</v>
      </c>
      <c r="E239" s="117">
        <v>445</v>
      </c>
      <c r="F239" s="118">
        <f t="shared" si="23"/>
        <v>0.20596205962059622</v>
      </c>
      <c r="G239" s="117">
        <v>252</v>
      </c>
      <c r="H239" s="118">
        <f t="shared" si="23"/>
        <v>-0.43370786516853932</v>
      </c>
      <c r="I239" s="117">
        <v>434</v>
      </c>
      <c r="J239" s="118">
        <f t="shared" si="23"/>
        <v>0.72222222222222232</v>
      </c>
      <c r="K239" s="117"/>
      <c r="L239" s="118"/>
    </row>
    <row r="240" spans="2:13" x14ac:dyDescent="0.25">
      <c r="B240" s="116" t="s">
        <v>98</v>
      </c>
      <c r="C240" s="117">
        <v>400</v>
      </c>
      <c r="D240" s="118">
        <v>-0.13793103448275867</v>
      </c>
      <c r="E240" s="117">
        <v>442</v>
      </c>
      <c r="F240" s="118">
        <f t="shared" si="23"/>
        <v>0.10499999999999998</v>
      </c>
      <c r="G240" s="117">
        <v>377</v>
      </c>
      <c r="H240" s="118">
        <f t="shared" si="23"/>
        <v>-0.1470588235294118</v>
      </c>
      <c r="I240" s="117">
        <v>459</v>
      </c>
      <c r="J240" s="118">
        <f t="shared" si="23"/>
        <v>0.21750663129973469</v>
      </c>
      <c r="K240" s="117"/>
      <c r="L240" s="118"/>
    </row>
    <row r="241" spans="2:13" ht="15.75" x14ac:dyDescent="0.25">
      <c r="B241" s="119" t="s">
        <v>32</v>
      </c>
      <c r="C241" s="120">
        <v>2747</v>
      </c>
      <c r="D241" s="121">
        <v>0.90499306518723999</v>
      </c>
      <c r="E241" s="120">
        <v>3507</v>
      </c>
      <c r="F241" s="121">
        <f t="shared" si="23"/>
        <v>0.27666545322169633</v>
      </c>
      <c r="G241" s="120">
        <v>3870</v>
      </c>
      <c r="H241" s="121">
        <f t="shared" si="23"/>
        <v>0.10350727117194181</v>
      </c>
      <c r="I241" s="120">
        <v>3006</v>
      </c>
      <c r="J241" s="121">
        <f t="shared" si="23"/>
        <v>-0.22325581395348837</v>
      </c>
      <c r="K241" s="120">
        <v>1686</v>
      </c>
      <c r="L241" s="121">
        <v>-4.7995482778091514E-2</v>
      </c>
    </row>
    <row r="242" spans="2:13" ht="6" customHeight="1" x14ac:dyDescent="0.25"/>
    <row r="243" spans="2:13" x14ac:dyDescent="0.25">
      <c r="B243" s="107" t="s">
        <v>57</v>
      </c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</row>
    <row r="244" spans="2:13" x14ac:dyDescent="0.25">
      <c r="C244" s="122"/>
      <c r="I244" s="122"/>
      <c r="L244" s="81"/>
    </row>
    <row r="250" spans="2:13" ht="48.75" customHeight="1" thickBot="1" x14ac:dyDescent="0.3">
      <c r="B250" s="273" t="s">
        <v>292</v>
      </c>
      <c r="C250" s="273"/>
      <c r="D250" s="273"/>
      <c r="E250" s="273"/>
      <c r="F250" s="273"/>
      <c r="G250" s="273"/>
      <c r="H250" s="273"/>
      <c r="I250" s="273"/>
      <c r="J250" s="273"/>
      <c r="K250" s="273"/>
      <c r="L250" s="273"/>
      <c r="M250" s="1" t="s">
        <v>152</v>
      </c>
    </row>
    <row r="251" spans="2:13" ht="10.5" customHeight="1" thickBot="1" x14ac:dyDescent="0.3">
      <c r="B251" s="109"/>
      <c r="C251" s="110"/>
      <c r="D251" s="109"/>
      <c r="E251" s="109"/>
      <c r="F251" s="109"/>
      <c r="G251" s="109"/>
      <c r="H251" s="109"/>
      <c r="I251" s="109"/>
      <c r="J251" s="109"/>
      <c r="K251" s="4"/>
      <c r="L251" s="4"/>
      <c r="M251" s="1" t="s">
        <v>153</v>
      </c>
    </row>
    <row r="252" spans="2:13" ht="22.5" thickTop="1" thickBot="1" x14ac:dyDescent="0.3">
      <c r="B252" s="123" t="str">
        <f>C252</f>
        <v>Suecia</v>
      </c>
      <c r="C252" s="298" t="s">
        <v>136</v>
      </c>
      <c r="D252" s="299"/>
      <c r="E252" s="299"/>
      <c r="F252" s="299"/>
      <c r="G252" s="299"/>
      <c r="H252" s="299"/>
      <c r="I252" s="299"/>
      <c r="J252" s="299"/>
      <c r="K252" s="299"/>
      <c r="L252" s="299"/>
    </row>
    <row r="253" spans="2:13" ht="22.5" thickTop="1" thickBot="1" x14ac:dyDescent="0.3">
      <c r="B253" s="112"/>
      <c r="C253" s="303">
        <f>$C$7</f>
        <v>2022</v>
      </c>
      <c r="D253" s="301"/>
      <c r="E253" s="300">
        <f>$E$7</f>
        <v>2023</v>
      </c>
      <c r="F253" s="301"/>
      <c r="G253" s="300">
        <f>$G$7</f>
        <v>2024</v>
      </c>
      <c r="H253" s="301"/>
      <c r="I253" s="300">
        <f>$I$7</f>
        <v>2025</v>
      </c>
      <c r="J253" s="301"/>
      <c r="K253" s="300">
        <f>$K$7</f>
        <v>2026</v>
      </c>
      <c r="L253" s="302"/>
    </row>
    <row r="254" spans="2:13" ht="16.5" thickTop="1" thickBot="1" x14ac:dyDescent="0.3">
      <c r="B254" s="87"/>
      <c r="C254" s="113" t="s">
        <v>74</v>
      </c>
      <c r="D254" s="114" t="str">
        <f>CONCATENATE("var. ",RIGHT(C253,2),"/",RIGHT(C253-1,2))</f>
        <v>var. 22/21</v>
      </c>
      <c r="E254" s="115" t="s">
        <v>74</v>
      </c>
      <c r="F254" s="114" t="s">
        <v>259</v>
      </c>
      <c r="G254" s="115" t="s">
        <v>74</v>
      </c>
      <c r="H254" s="114" t="s">
        <v>259</v>
      </c>
      <c r="I254" s="115" t="s">
        <v>74</v>
      </c>
      <c r="J254" s="114" t="s">
        <v>259</v>
      </c>
      <c r="K254" s="115" t="s">
        <v>74</v>
      </c>
      <c r="L254" s="114" t="s">
        <v>282</v>
      </c>
    </row>
    <row r="255" spans="2:13" x14ac:dyDescent="0.25">
      <c r="B255" s="116" t="s">
        <v>76</v>
      </c>
      <c r="C255" s="117">
        <v>571</v>
      </c>
      <c r="D255" s="118">
        <v>16.84375</v>
      </c>
      <c r="E255" s="117">
        <v>1003</v>
      </c>
      <c r="F255" s="118">
        <f t="shared" ref="F255:J267" si="25">IFERROR(E255/C255-1,"-")</f>
        <v>0.75656742556917678</v>
      </c>
      <c r="G255" s="117">
        <v>914</v>
      </c>
      <c r="H255" s="118">
        <f t="shared" si="25"/>
        <v>-8.8733798604187397E-2</v>
      </c>
      <c r="I255" s="117">
        <v>985</v>
      </c>
      <c r="J255" s="118">
        <f t="shared" si="25"/>
        <v>7.7680525164113723E-2</v>
      </c>
      <c r="K255" s="117">
        <v>1055</v>
      </c>
      <c r="L255" s="118">
        <f t="shared" ref="L255:L261" si="26">IFERROR(K255/I255-1,"-")</f>
        <v>7.1065989847715727E-2</v>
      </c>
    </row>
    <row r="256" spans="2:13" x14ac:dyDescent="0.25">
      <c r="B256" s="116" t="s">
        <v>78</v>
      </c>
      <c r="C256" s="117">
        <v>551</v>
      </c>
      <c r="D256" s="118">
        <v>31.411764705882355</v>
      </c>
      <c r="E256" s="117">
        <v>608</v>
      </c>
      <c r="F256" s="118">
        <f t="shared" si="25"/>
        <v>0.10344827586206895</v>
      </c>
      <c r="G256" s="117">
        <v>788</v>
      </c>
      <c r="H256" s="118">
        <f t="shared" si="25"/>
        <v>0.29605263157894735</v>
      </c>
      <c r="I256" s="117">
        <v>653</v>
      </c>
      <c r="J256" s="118">
        <f t="shared" si="25"/>
        <v>-0.17131979695431476</v>
      </c>
      <c r="K256" s="117">
        <v>659</v>
      </c>
      <c r="L256" s="118">
        <f t="shared" si="26"/>
        <v>9.1883614088821286E-3</v>
      </c>
    </row>
    <row r="257" spans="2:12" x14ac:dyDescent="0.25">
      <c r="B257" s="116" t="s">
        <v>80</v>
      </c>
      <c r="C257" s="117">
        <v>386</v>
      </c>
      <c r="D257" s="118">
        <v>7.0416666666666661</v>
      </c>
      <c r="E257" s="117">
        <v>626</v>
      </c>
      <c r="F257" s="118">
        <f t="shared" si="25"/>
        <v>0.62176165803108807</v>
      </c>
      <c r="G257" s="117">
        <v>694</v>
      </c>
      <c r="H257" s="118">
        <f t="shared" si="25"/>
        <v>0.10862619808306717</v>
      </c>
      <c r="I257" s="117">
        <v>528</v>
      </c>
      <c r="J257" s="118">
        <f t="shared" si="25"/>
        <v>-0.23919308357348701</v>
      </c>
      <c r="K257" s="117">
        <v>654</v>
      </c>
      <c r="L257" s="118">
        <f t="shared" si="26"/>
        <v>0.23863636363636354</v>
      </c>
    </row>
    <row r="258" spans="2:12" x14ac:dyDescent="0.25">
      <c r="B258" s="116" t="s">
        <v>82</v>
      </c>
      <c r="C258" s="117">
        <v>324</v>
      </c>
      <c r="D258" s="118">
        <v>2.0857142857142859</v>
      </c>
      <c r="E258" s="117">
        <v>411</v>
      </c>
      <c r="F258" s="118">
        <f t="shared" si="25"/>
        <v>0.2685185185185186</v>
      </c>
      <c r="G258" s="117">
        <v>581</v>
      </c>
      <c r="H258" s="118">
        <f t="shared" si="25"/>
        <v>0.41362530413625298</v>
      </c>
      <c r="I258" s="117">
        <v>256</v>
      </c>
      <c r="J258" s="118">
        <f t="shared" si="25"/>
        <v>-0.55938037865748713</v>
      </c>
      <c r="K258" s="117">
        <v>220</v>
      </c>
      <c r="L258" s="118">
        <f t="shared" si="26"/>
        <v>-0.140625</v>
      </c>
    </row>
    <row r="259" spans="2:12" x14ac:dyDescent="0.25">
      <c r="B259" s="116" t="s">
        <v>84</v>
      </c>
      <c r="C259" s="117">
        <v>196</v>
      </c>
      <c r="D259" s="118">
        <v>2.5</v>
      </c>
      <c r="E259" s="117">
        <v>95</v>
      </c>
      <c r="F259" s="118">
        <f t="shared" si="25"/>
        <v>-0.51530612244897966</v>
      </c>
      <c r="G259" s="117">
        <v>78</v>
      </c>
      <c r="H259" s="118">
        <f t="shared" si="25"/>
        <v>-0.17894736842105263</v>
      </c>
      <c r="I259" s="117">
        <v>122</v>
      </c>
      <c r="J259" s="118">
        <f t="shared" si="25"/>
        <v>0.5641025641025641</v>
      </c>
      <c r="K259" s="117">
        <v>122</v>
      </c>
      <c r="L259" s="118">
        <f t="shared" si="26"/>
        <v>0</v>
      </c>
    </row>
    <row r="260" spans="2:12" x14ac:dyDescent="0.25">
      <c r="B260" s="116" t="s">
        <v>86</v>
      </c>
      <c r="C260" s="117">
        <v>343</v>
      </c>
      <c r="D260" s="118">
        <v>4.6229508196721314</v>
      </c>
      <c r="E260" s="117">
        <v>78</v>
      </c>
      <c r="F260" s="118">
        <f t="shared" si="25"/>
        <v>-0.77259475218658891</v>
      </c>
      <c r="G260" s="117">
        <v>57</v>
      </c>
      <c r="H260" s="118">
        <f t="shared" si="25"/>
        <v>-0.26923076923076927</v>
      </c>
      <c r="I260" s="117">
        <v>74</v>
      </c>
      <c r="J260" s="118">
        <f t="shared" si="25"/>
        <v>0.29824561403508776</v>
      </c>
      <c r="K260" s="117">
        <v>39</v>
      </c>
      <c r="L260" s="118">
        <f t="shared" si="26"/>
        <v>-0.47297297297297303</v>
      </c>
    </row>
    <row r="261" spans="2:12" x14ac:dyDescent="0.25">
      <c r="B261" s="116" t="s">
        <v>88</v>
      </c>
      <c r="C261" s="117">
        <v>64</v>
      </c>
      <c r="D261" s="118">
        <v>-0.31914893617021278</v>
      </c>
      <c r="E261" s="117">
        <v>141</v>
      </c>
      <c r="F261" s="118">
        <f t="shared" si="25"/>
        <v>1.203125</v>
      </c>
      <c r="G261" s="117">
        <v>175</v>
      </c>
      <c r="H261" s="118">
        <f t="shared" si="25"/>
        <v>0.24113475177304955</v>
      </c>
      <c r="I261" s="117">
        <v>197</v>
      </c>
      <c r="J261" s="118">
        <f t="shared" si="25"/>
        <v>0.12571428571428567</v>
      </c>
      <c r="K261" s="117">
        <v>180</v>
      </c>
      <c r="L261" s="118">
        <f t="shared" si="26"/>
        <v>-8.6294416243654859E-2</v>
      </c>
    </row>
    <row r="262" spans="2:12" x14ac:dyDescent="0.25">
      <c r="B262" s="116" t="s">
        <v>90</v>
      </c>
      <c r="C262" s="117">
        <v>25</v>
      </c>
      <c r="D262" s="118">
        <v>-0.59677419354838712</v>
      </c>
      <c r="E262" s="117">
        <v>102</v>
      </c>
      <c r="F262" s="118">
        <f t="shared" si="25"/>
        <v>3.08</v>
      </c>
      <c r="G262" s="117">
        <v>168</v>
      </c>
      <c r="H262" s="118">
        <f t="shared" si="25"/>
        <v>0.64705882352941169</v>
      </c>
      <c r="I262" s="117">
        <v>34</v>
      </c>
      <c r="J262" s="118">
        <f t="shared" si="25"/>
        <v>-0.79761904761904767</v>
      </c>
      <c r="K262" s="117"/>
      <c r="L262" s="118"/>
    </row>
    <row r="263" spans="2:12" x14ac:dyDescent="0.25">
      <c r="B263" s="116" t="s">
        <v>92</v>
      </c>
      <c r="C263" s="117">
        <v>73</v>
      </c>
      <c r="D263" s="118">
        <v>-0.35398230088495575</v>
      </c>
      <c r="E263" s="117">
        <v>105</v>
      </c>
      <c r="F263" s="118">
        <f t="shared" si="25"/>
        <v>0.43835616438356162</v>
      </c>
      <c r="G263" s="117">
        <v>48</v>
      </c>
      <c r="H263" s="118">
        <f t="shared" si="25"/>
        <v>-0.54285714285714293</v>
      </c>
      <c r="I263" s="117">
        <v>60</v>
      </c>
      <c r="J263" s="118">
        <f t="shared" si="25"/>
        <v>0.25</v>
      </c>
      <c r="K263" s="117"/>
      <c r="L263" s="118"/>
    </row>
    <row r="264" spans="2:12" x14ac:dyDescent="0.25">
      <c r="B264" s="116" t="s">
        <v>94</v>
      </c>
      <c r="C264" s="117">
        <v>286</v>
      </c>
      <c r="D264" s="118">
        <v>0.18181818181818188</v>
      </c>
      <c r="E264" s="117">
        <v>452</v>
      </c>
      <c r="F264" s="118">
        <f t="shared" si="25"/>
        <v>0.58041958041958042</v>
      </c>
      <c r="G264" s="117">
        <v>379</v>
      </c>
      <c r="H264" s="118">
        <f t="shared" si="25"/>
        <v>-0.16150442477876104</v>
      </c>
      <c r="I264" s="117">
        <v>184</v>
      </c>
      <c r="J264" s="118">
        <f t="shared" si="25"/>
        <v>-0.51451187335092352</v>
      </c>
      <c r="K264" s="117"/>
      <c r="L264" s="118"/>
    </row>
    <row r="265" spans="2:12" x14ac:dyDescent="0.25">
      <c r="B265" s="116" t="s">
        <v>96</v>
      </c>
      <c r="C265" s="117">
        <v>541</v>
      </c>
      <c r="D265" s="118">
        <v>0.19426048565121423</v>
      </c>
      <c r="E265" s="117">
        <v>635</v>
      </c>
      <c r="F265" s="118">
        <f t="shared" si="25"/>
        <v>0.17375231053604434</v>
      </c>
      <c r="G265" s="117">
        <v>655</v>
      </c>
      <c r="H265" s="118">
        <f t="shared" si="25"/>
        <v>3.1496062992125928E-2</v>
      </c>
      <c r="I265" s="117">
        <v>787</v>
      </c>
      <c r="J265" s="118">
        <f t="shared" si="25"/>
        <v>0.20152671755725193</v>
      </c>
      <c r="K265" s="117"/>
      <c r="L265" s="118"/>
    </row>
    <row r="266" spans="2:12" x14ac:dyDescent="0.25">
      <c r="B266" s="116" t="s">
        <v>98</v>
      </c>
      <c r="C266" s="117">
        <v>662</v>
      </c>
      <c r="D266" s="118">
        <v>-8.9408528198074322E-2</v>
      </c>
      <c r="E266" s="117">
        <v>656</v>
      </c>
      <c r="F266" s="118">
        <f t="shared" si="25"/>
        <v>-9.0634441087613649E-3</v>
      </c>
      <c r="G266" s="117">
        <v>889</v>
      </c>
      <c r="H266" s="118">
        <f t="shared" si="25"/>
        <v>0.35518292682926833</v>
      </c>
      <c r="I266" s="117">
        <v>775</v>
      </c>
      <c r="J266" s="118">
        <f t="shared" si="25"/>
        <v>-0.12823397075365583</v>
      </c>
      <c r="K266" s="117"/>
      <c r="L266" s="118"/>
    </row>
    <row r="267" spans="2:12" ht="15.75" x14ac:dyDescent="0.25">
      <c r="B267" s="119" t="s">
        <v>32</v>
      </c>
      <c r="C267" s="120">
        <v>4022</v>
      </c>
      <c r="D267" s="121">
        <v>1.0009950248756221</v>
      </c>
      <c r="E267" s="120">
        <v>4912</v>
      </c>
      <c r="F267" s="121">
        <f t="shared" si="25"/>
        <v>0.22128294380905023</v>
      </c>
      <c r="G267" s="120">
        <v>5426</v>
      </c>
      <c r="H267" s="121">
        <f t="shared" si="25"/>
        <v>0.10464169381107502</v>
      </c>
      <c r="I267" s="120">
        <v>4655</v>
      </c>
      <c r="J267" s="121">
        <f t="shared" si="25"/>
        <v>-0.14209362329524511</v>
      </c>
      <c r="K267" s="120">
        <v>2929</v>
      </c>
      <c r="L267" s="121">
        <v>4.0497335701598525E-2</v>
      </c>
    </row>
    <row r="268" spans="2:12" ht="6" customHeight="1" x14ac:dyDescent="0.25"/>
    <row r="269" spans="2:12" x14ac:dyDescent="0.25">
      <c r="B269" s="107" t="s">
        <v>57</v>
      </c>
      <c r="C269" s="107"/>
      <c r="D269" s="107"/>
      <c r="E269" s="107"/>
      <c r="F269" s="107"/>
      <c r="G269" s="107"/>
      <c r="H269" s="107"/>
      <c r="I269" s="107"/>
      <c r="J269" s="107"/>
      <c r="K269" s="107"/>
      <c r="L269" s="107"/>
    </row>
    <row r="270" spans="2:12" x14ac:dyDescent="0.25">
      <c r="C270" s="122"/>
      <c r="I270" s="122"/>
      <c r="L270" s="81"/>
    </row>
  </sheetData>
  <mergeCells count="84">
    <mergeCell ref="B250:L250"/>
    <mergeCell ref="C252:L252"/>
    <mergeCell ref="C253:D253"/>
    <mergeCell ref="E253:F253"/>
    <mergeCell ref="G253:H253"/>
    <mergeCell ref="I253:J253"/>
    <mergeCell ref="K253:L253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4F97E-E6CA-4A91-9EFB-B29AC043575F}">
  <sheetPr>
    <tabColor rgb="FFF29140"/>
  </sheetPr>
  <dimension ref="A4:M93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4" max="4" width="12.140625" bestFit="1" customWidth="1"/>
    <col min="12" max="12" width="13.5703125" bestFit="1" customWidth="1"/>
  </cols>
  <sheetData>
    <row r="4" spans="1:13" ht="48.75" customHeight="1" thickBot="1" x14ac:dyDescent="0.3">
      <c r="B4" s="273" t="s">
        <v>280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8" t="s">
        <v>137</v>
      </c>
      <c r="D6" s="299"/>
      <c r="E6" s="299"/>
      <c r="F6" s="299"/>
      <c r="G6" s="299"/>
      <c r="H6" s="299"/>
      <c r="I6" s="299"/>
      <c r="J6" s="299"/>
      <c r="K6" s="299"/>
      <c r="L6" s="299"/>
    </row>
    <row r="7" spans="1:13" ht="22.5" thickTop="1" thickBot="1" x14ac:dyDescent="0.3">
      <c r="B7" s="112"/>
      <c r="C7" s="300">
        <f>E7-1</f>
        <v>2022</v>
      </c>
      <c r="D7" s="301"/>
      <c r="E7" s="300">
        <f>G7-1</f>
        <v>2023</v>
      </c>
      <c r="F7" s="301"/>
      <c r="G7" s="300">
        <f>I7-1</f>
        <v>2024</v>
      </c>
      <c r="H7" s="301"/>
      <c r="I7" s="300">
        <f>K7-1</f>
        <v>2025</v>
      </c>
      <c r="J7" s="301"/>
      <c r="K7" s="300">
        <v>2026</v>
      </c>
      <c r="L7" s="302"/>
    </row>
    <row r="8" spans="1:13" ht="16.5" thickTop="1" thickBot="1" x14ac:dyDescent="0.3">
      <c r="B8" s="87"/>
      <c r="C8" s="113" t="s">
        <v>74</v>
      </c>
      <c r="D8" s="114" t="str">
        <f>CONCATENATE("var ",RIGHT(C7,2),"/",RIGHT(C7-1,2))</f>
        <v>var 22/21</v>
      </c>
      <c r="E8" s="115" t="s">
        <v>74</v>
      </c>
      <c r="F8" s="114" t="str">
        <f>CONCATENATE("var ",RIGHT(E7,2),"/",RIGHT(C7,2))</f>
        <v>var 23/22</v>
      </c>
      <c r="G8" s="115" t="s">
        <v>74</v>
      </c>
      <c r="H8" s="114" t="str">
        <f>CONCATENATE("var ",RIGHT(G7,2),"/",RIGHT(E7,2))</f>
        <v>var 24/23</v>
      </c>
      <c r="I8" s="115" t="s">
        <v>74</v>
      </c>
      <c r="J8" s="114" t="str">
        <f>CONCATENATE("var ",RIGHT(I7,2),"/",RIGHT(G7,2))</f>
        <v>var 25/24</v>
      </c>
      <c r="K8" s="115" t="s">
        <v>74</v>
      </c>
      <c r="L8" s="114" t="str">
        <f>CONCATENATE("var ",RIGHT(K7,2),"/",RIGHT(I7,2))</f>
        <v>var 26/25</v>
      </c>
    </row>
    <row r="9" spans="1:13" x14ac:dyDescent="0.25">
      <c r="A9" s="1" t="s">
        <v>75</v>
      </c>
      <c r="B9" s="116" t="s">
        <v>76</v>
      </c>
      <c r="C9" s="117">
        <v>9068</v>
      </c>
      <c r="D9" s="118">
        <v>-0.80356562615081339</v>
      </c>
      <c r="E9" s="117">
        <v>59578</v>
      </c>
      <c r="F9" s="118">
        <f t="shared" ref="F9:J21" si="0">IFERROR(E9/C9-1,"-")</f>
        <v>5.5701367445963825</v>
      </c>
      <c r="G9" s="117">
        <v>61741</v>
      </c>
      <c r="H9" s="118">
        <f t="shared" si="0"/>
        <v>3.6305347611534478E-2</v>
      </c>
      <c r="I9" s="117">
        <v>57077</v>
      </c>
      <c r="J9" s="118">
        <f t="shared" si="0"/>
        <v>-7.5541374451337018E-2</v>
      </c>
      <c r="K9" s="117">
        <v>61315</v>
      </c>
      <c r="L9" s="118">
        <f t="shared" ref="L9:L15" si="1">IFERROR(K9/I9-1,"-")</f>
        <v>7.4250573786288632E-2</v>
      </c>
    </row>
    <row r="10" spans="1:13" x14ac:dyDescent="0.25">
      <c r="A10" s="1" t="s">
        <v>77</v>
      </c>
      <c r="B10" s="116" t="s">
        <v>78</v>
      </c>
      <c r="C10" s="117">
        <v>15142</v>
      </c>
      <c r="D10" s="118">
        <v>-0.70794275353932801</v>
      </c>
      <c r="E10" s="117">
        <v>52194</v>
      </c>
      <c r="F10" s="118">
        <f t="shared" si="0"/>
        <v>2.4469686963413024</v>
      </c>
      <c r="G10" s="117">
        <v>55957</v>
      </c>
      <c r="H10" s="118">
        <f t="shared" si="0"/>
        <v>7.2096409548990215E-2</v>
      </c>
      <c r="I10" s="117">
        <v>52638</v>
      </c>
      <c r="J10" s="118">
        <f t="shared" si="0"/>
        <v>-5.9313401361759888E-2</v>
      </c>
      <c r="K10" s="117">
        <v>58411</v>
      </c>
      <c r="L10" s="118">
        <f t="shared" si="1"/>
        <v>0.10967361981838208</v>
      </c>
    </row>
    <row r="11" spans="1:13" x14ac:dyDescent="0.25">
      <c r="A11" s="1" t="s">
        <v>79</v>
      </c>
      <c r="B11" s="116" t="s">
        <v>80</v>
      </c>
      <c r="C11" s="117">
        <v>22329</v>
      </c>
      <c r="D11" s="118">
        <v>0.1025577720718942</v>
      </c>
      <c r="E11" s="117">
        <v>58354</v>
      </c>
      <c r="F11" s="118">
        <f t="shared" si="0"/>
        <v>1.6133727439652468</v>
      </c>
      <c r="G11" s="117">
        <v>58643</v>
      </c>
      <c r="H11" s="118">
        <f t="shared" si="0"/>
        <v>4.9525311032663222E-3</v>
      </c>
      <c r="I11" s="117">
        <v>56752</v>
      </c>
      <c r="J11" s="118">
        <f t="shared" si="0"/>
        <v>-3.2245962860017352E-2</v>
      </c>
      <c r="K11" s="117">
        <v>59958</v>
      </c>
      <c r="L11" s="118">
        <f t="shared" si="1"/>
        <v>5.6491401184099344E-2</v>
      </c>
    </row>
    <row r="12" spans="1:13" x14ac:dyDescent="0.25">
      <c r="A12" s="1" t="s">
        <v>81</v>
      </c>
      <c r="B12" s="116" t="s">
        <v>82</v>
      </c>
      <c r="C12" s="117">
        <v>19557</v>
      </c>
      <c r="D12" s="118" t="s">
        <v>239</v>
      </c>
      <c r="E12" s="117">
        <v>42717</v>
      </c>
      <c r="F12" s="118">
        <f t="shared" si="0"/>
        <v>1.1842307102316307</v>
      </c>
      <c r="G12" s="117">
        <v>46133</v>
      </c>
      <c r="H12" s="118">
        <f t="shared" si="0"/>
        <v>7.9968162558232025E-2</v>
      </c>
      <c r="I12" s="117">
        <v>47123</v>
      </c>
      <c r="J12" s="118">
        <f t="shared" si="0"/>
        <v>2.1459692627836979E-2</v>
      </c>
      <c r="K12" s="117">
        <v>49320</v>
      </c>
      <c r="L12" s="118">
        <f t="shared" si="1"/>
        <v>4.6622668336056661E-2</v>
      </c>
    </row>
    <row r="13" spans="1:13" x14ac:dyDescent="0.25">
      <c r="A13" s="1" t="s">
        <v>83</v>
      </c>
      <c r="B13" s="116" t="s">
        <v>84</v>
      </c>
      <c r="C13" s="117">
        <v>24025</v>
      </c>
      <c r="D13" s="118" t="s">
        <v>239</v>
      </c>
      <c r="E13" s="117">
        <v>42611</v>
      </c>
      <c r="F13" s="118">
        <f t="shared" si="0"/>
        <v>0.7736108220603537</v>
      </c>
      <c r="G13" s="117">
        <v>38316</v>
      </c>
      <c r="H13" s="118">
        <f t="shared" si="0"/>
        <v>-0.10079556921921573</v>
      </c>
      <c r="I13" s="117">
        <v>45582</v>
      </c>
      <c r="J13" s="118">
        <f t="shared" si="0"/>
        <v>0.18963357344190412</v>
      </c>
      <c r="K13" s="117">
        <v>46526</v>
      </c>
      <c r="L13" s="118">
        <f t="shared" si="1"/>
        <v>2.0709929358079915E-2</v>
      </c>
    </row>
    <row r="14" spans="1:13" x14ac:dyDescent="0.25">
      <c r="A14" s="1" t="s">
        <v>85</v>
      </c>
      <c r="B14" s="116" t="s">
        <v>86</v>
      </c>
      <c r="C14" s="117">
        <v>26795</v>
      </c>
      <c r="D14" s="118" t="s">
        <v>239</v>
      </c>
      <c r="E14" s="117">
        <v>38639</v>
      </c>
      <c r="F14" s="118">
        <f t="shared" si="0"/>
        <v>0.44202276544131358</v>
      </c>
      <c r="G14" s="117">
        <v>40074</v>
      </c>
      <c r="H14" s="118">
        <f t="shared" si="0"/>
        <v>3.7138642304407554E-2</v>
      </c>
      <c r="I14" s="117">
        <v>42497</v>
      </c>
      <c r="J14" s="118">
        <f t="shared" si="0"/>
        <v>6.0463143185107482E-2</v>
      </c>
      <c r="K14" s="117">
        <v>40082</v>
      </c>
      <c r="L14" s="118">
        <f t="shared" si="1"/>
        <v>-5.6827540767583562E-2</v>
      </c>
    </row>
    <row r="15" spans="1:13" x14ac:dyDescent="0.25">
      <c r="A15" s="1" t="s">
        <v>87</v>
      </c>
      <c r="B15" s="116" t="s">
        <v>88</v>
      </c>
      <c r="C15" s="117">
        <v>31224</v>
      </c>
      <c r="D15" s="118" t="s">
        <v>239</v>
      </c>
      <c r="E15" s="117">
        <v>41786</v>
      </c>
      <c r="F15" s="118">
        <f t="shared" si="0"/>
        <v>0.33826543684345367</v>
      </c>
      <c r="G15" s="117">
        <v>45242</v>
      </c>
      <c r="H15" s="118">
        <f t="shared" si="0"/>
        <v>8.2707126788876595E-2</v>
      </c>
      <c r="I15" s="117">
        <v>49837</v>
      </c>
      <c r="J15" s="118">
        <f t="shared" si="0"/>
        <v>0.10156491755448482</v>
      </c>
      <c r="K15" s="117">
        <v>47307</v>
      </c>
      <c r="L15" s="118">
        <f t="shared" si="1"/>
        <v>-5.0765495515380121E-2</v>
      </c>
    </row>
    <row r="16" spans="1:13" x14ac:dyDescent="0.25">
      <c r="A16" s="1" t="s">
        <v>89</v>
      </c>
      <c r="B16" s="116" t="s">
        <v>90</v>
      </c>
      <c r="C16" s="117">
        <v>36151</v>
      </c>
      <c r="D16" s="118">
        <v>1.3744499178981937</v>
      </c>
      <c r="E16" s="117">
        <v>43373</v>
      </c>
      <c r="F16" s="118">
        <f t="shared" si="0"/>
        <v>0.19977317363281788</v>
      </c>
      <c r="G16" s="117">
        <v>42595</v>
      </c>
      <c r="H16" s="118">
        <f t="shared" si="0"/>
        <v>-1.7937426509579746E-2</v>
      </c>
      <c r="I16" s="117">
        <v>49206</v>
      </c>
      <c r="J16" s="118">
        <f t="shared" si="0"/>
        <v>0.15520601009508161</v>
      </c>
      <c r="K16" s="117"/>
      <c r="L16" s="118"/>
    </row>
    <row r="17" spans="1:13" x14ac:dyDescent="0.25">
      <c r="A17" s="1" t="s">
        <v>91</v>
      </c>
      <c r="B17" s="116" t="s">
        <v>92</v>
      </c>
      <c r="C17" s="117">
        <v>36202</v>
      </c>
      <c r="D17" s="118">
        <v>1.4965174815529965</v>
      </c>
      <c r="E17" s="117">
        <v>40151</v>
      </c>
      <c r="F17" s="118">
        <f t="shared" si="0"/>
        <v>0.10908237113971597</v>
      </c>
      <c r="G17" s="117">
        <v>43154</v>
      </c>
      <c r="H17" s="118">
        <f t="shared" si="0"/>
        <v>7.479265771711785E-2</v>
      </c>
      <c r="I17" s="117">
        <v>47691</v>
      </c>
      <c r="J17" s="118">
        <f t="shared" si="0"/>
        <v>0.10513509755758443</v>
      </c>
      <c r="K17" s="117"/>
      <c r="L17" s="118"/>
    </row>
    <row r="18" spans="1:13" x14ac:dyDescent="0.25">
      <c r="A18" s="1" t="s">
        <v>93</v>
      </c>
      <c r="B18" s="116" t="s">
        <v>94</v>
      </c>
      <c r="C18" s="117">
        <v>42785</v>
      </c>
      <c r="D18" s="118">
        <v>1.471978275941761</v>
      </c>
      <c r="E18" s="117">
        <v>49321</v>
      </c>
      <c r="F18" s="118">
        <f t="shared" si="0"/>
        <v>0.15276381909547743</v>
      </c>
      <c r="G18" s="117">
        <v>43124</v>
      </c>
      <c r="H18" s="118">
        <f t="shared" si="0"/>
        <v>-0.1256462764339733</v>
      </c>
      <c r="I18" s="117">
        <v>55510</v>
      </c>
      <c r="J18" s="118">
        <f t="shared" si="0"/>
        <v>0.28721825433633241</v>
      </c>
      <c r="K18" s="117"/>
      <c r="L18" s="118"/>
    </row>
    <row r="19" spans="1:13" x14ac:dyDescent="0.25">
      <c r="A19" s="1" t="s">
        <v>95</v>
      </c>
      <c r="B19" s="116" t="s">
        <v>96</v>
      </c>
      <c r="C19" s="117">
        <v>49146</v>
      </c>
      <c r="D19" s="118">
        <v>2.319105828324441</v>
      </c>
      <c r="E19" s="117">
        <v>55991</v>
      </c>
      <c r="F19" s="118">
        <f t="shared" si="0"/>
        <v>0.13927888332722915</v>
      </c>
      <c r="G19" s="117">
        <v>53169</v>
      </c>
      <c r="H19" s="118">
        <f t="shared" si="0"/>
        <v>-5.0400957296708349E-2</v>
      </c>
      <c r="I19" s="117">
        <v>56612</v>
      </c>
      <c r="J19" s="118">
        <f t="shared" si="0"/>
        <v>6.4755778743252668E-2</v>
      </c>
      <c r="K19" s="117"/>
      <c r="L19" s="118"/>
    </row>
    <row r="20" spans="1:13" x14ac:dyDescent="0.25">
      <c r="A20" s="1" t="s">
        <v>97</v>
      </c>
      <c r="B20" s="116" t="s">
        <v>98</v>
      </c>
      <c r="C20" s="117">
        <v>46745</v>
      </c>
      <c r="D20" s="118">
        <v>2.4508341945961907</v>
      </c>
      <c r="E20" s="117">
        <v>53126</v>
      </c>
      <c r="F20" s="118">
        <f t="shared" si="0"/>
        <v>0.13650657824366252</v>
      </c>
      <c r="G20" s="117">
        <v>55215</v>
      </c>
      <c r="H20" s="118">
        <f t="shared" si="0"/>
        <v>3.9321612769642078E-2</v>
      </c>
      <c r="I20" s="117">
        <v>54945</v>
      </c>
      <c r="J20" s="118">
        <f t="shared" si="0"/>
        <v>-4.8899755501222719E-3</v>
      </c>
      <c r="K20" s="117"/>
      <c r="L20" s="118"/>
    </row>
    <row r="21" spans="1:13" ht="15.75" x14ac:dyDescent="0.25">
      <c r="A21" s="1"/>
      <c r="B21" s="119" t="s">
        <v>32</v>
      </c>
      <c r="C21" s="120">
        <v>359169</v>
      </c>
      <c r="D21" s="121">
        <v>0.65765462240334505</v>
      </c>
      <c r="E21" s="120">
        <v>577841</v>
      </c>
      <c r="F21" s="121">
        <f t="shared" si="0"/>
        <v>0.60882759926385632</v>
      </c>
      <c r="G21" s="120">
        <v>583363</v>
      </c>
      <c r="H21" s="121">
        <f t="shared" si="0"/>
        <v>9.5562620167140011E-3</v>
      </c>
      <c r="I21" s="120">
        <v>615470</v>
      </c>
      <c r="J21" s="121">
        <f t="shared" si="0"/>
        <v>5.5037772364719739E-2</v>
      </c>
      <c r="K21" s="120">
        <v>362919</v>
      </c>
      <c r="L21" s="121">
        <v>3.2468862551421562E-2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3" x14ac:dyDescent="0.25">
      <c r="I24" s="122"/>
      <c r="L24" s="81"/>
    </row>
    <row r="26" spans="1:13" ht="48.75" customHeight="1" thickBot="1" x14ac:dyDescent="0.3">
      <c r="B26" s="273" t="s">
        <v>293</v>
      </c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8" t="s">
        <v>142</v>
      </c>
      <c r="D28" s="299"/>
      <c r="E28" s="299"/>
      <c r="F28" s="299"/>
      <c r="G28" s="299"/>
      <c r="H28" s="299"/>
      <c r="I28" s="299"/>
      <c r="J28" s="299"/>
      <c r="K28" s="299"/>
      <c r="L28" s="299"/>
    </row>
    <row r="29" spans="1:13" ht="22.5" thickTop="1" thickBot="1" x14ac:dyDescent="0.3">
      <c r="B29" s="112"/>
      <c r="C29" s="303">
        <f>C$7</f>
        <v>2022</v>
      </c>
      <c r="D29" s="301"/>
      <c r="E29" s="303">
        <f>E$7</f>
        <v>2023</v>
      </c>
      <c r="F29" s="301"/>
      <c r="G29" s="303">
        <f>G$7</f>
        <v>2024</v>
      </c>
      <c r="H29" s="301"/>
      <c r="I29" s="303">
        <f>I$7</f>
        <v>2025</v>
      </c>
      <c r="J29" s="301"/>
      <c r="K29" s="300">
        <f>K$7</f>
        <v>2026</v>
      </c>
      <c r="L29" s="302"/>
    </row>
    <row r="30" spans="1:13" ht="16.5" thickTop="1" thickBot="1" x14ac:dyDescent="0.3">
      <c r="B30" s="87"/>
      <c r="C30" s="113" t="s">
        <v>74</v>
      </c>
      <c r="D30" s="114" t="str">
        <f>CONCATENATE("var ",RIGHT(C29,2),"/",RIGHT(C29-1,2))</f>
        <v>var 22/21</v>
      </c>
      <c r="E30" s="115" t="s">
        <v>74</v>
      </c>
      <c r="F30" s="114" t="str">
        <f>CONCATENATE("var ",RIGHT(E29,2),"/",RIGHT(C29,2))</f>
        <v>var 23/22</v>
      </c>
      <c r="G30" s="115" t="s">
        <v>74</v>
      </c>
      <c r="H30" s="114" t="str">
        <f>CONCATENATE("var ",RIGHT(G29,2),"/",RIGHT(E29,2))</f>
        <v>var 24/23</v>
      </c>
      <c r="I30" s="115" t="s">
        <v>74</v>
      </c>
      <c r="J30" s="114" t="str">
        <f>CONCATENATE("var ",RIGHT(I29,2),"/",RIGHT(G29,2))</f>
        <v>var 25/24</v>
      </c>
      <c r="K30" s="115" t="s">
        <v>74</v>
      </c>
      <c r="L30" s="114" t="str">
        <f>CONCATENATE("var ",RIGHT(K29,2),"/",RIGHT(I29,2))</f>
        <v>var 26/25</v>
      </c>
    </row>
    <row r="31" spans="1:13" x14ac:dyDescent="0.25">
      <c r="B31" s="116" t="s">
        <v>76</v>
      </c>
      <c r="C31" s="117">
        <v>40065</v>
      </c>
      <c r="D31" s="118">
        <v>3.4182840758711954</v>
      </c>
      <c r="E31" s="117">
        <v>59578</v>
      </c>
      <c r="F31" s="118">
        <f t="shared" ref="F31:H43" si="2">IFERROR(E31/C31-1,"-")</f>
        <v>0.48703357044802198</v>
      </c>
      <c r="G31" s="117">
        <v>61741</v>
      </c>
      <c r="H31" s="118">
        <f t="shared" si="2"/>
        <v>3.6305347611534478E-2</v>
      </c>
      <c r="I31" s="117">
        <v>57077</v>
      </c>
      <c r="J31" s="118">
        <f t="shared" ref="J31:J43" si="3">IFERROR(I31/G31-1,"-")</f>
        <v>-7.5541374451337018E-2</v>
      </c>
      <c r="K31" s="117">
        <v>61315</v>
      </c>
      <c r="L31" s="118">
        <f t="shared" ref="L31:L37" si="4">IFERROR(K31/I31-1,"-")</f>
        <v>7.4250573786288632E-2</v>
      </c>
    </row>
    <row r="32" spans="1:13" x14ac:dyDescent="0.25">
      <c r="B32" s="116" t="s">
        <v>78</v>
      </c>
      <c r="C32" s="117">
        <v>41909</v>
      </c>
      <c r="D32" s="118">
        <v>1.7677321357812708</v>
      </c>
      <c r="E32" s="117">
        <v>52194</v>
      </c>
      <c r="F32" s="118">
        <f t="shared" si="2"/>
        <v>0.24541267985396931</v>
      </c>
      <c r="G32" s="117">
        <v>55957</v>
      </c>
      <c r="H32" s="118">
        <f t="shared" si="2"/>
        <v>7.2096409548990215E-2</v>
      </c>
      <c r="I32" s="117">
        <v>52638</v>
      </c>
      <c r="J32" s="118">
        <f t="shared" si="3"/>
        <v>-5.9313401361759888E-2</v>
      </c>
      <c r="K32" s="117">
        <v>58411</v>
      </c>
      <c r="L32" s="118">
        <f t="shared" si="4"/>
        <v>0.10967361981838208</v>
      </c>
    </row>
    <row r="33" spans="2:13" x14ac:dyDescent="0.25">
      <c r="B33" s="116" t="s">
        <v>80</v>
      </c>
      <c r="C33" s="117">
        <v>47103</v>
      </c>
      <c r="D33" s="118">
        <v>1.1094988579873708</v>
      </c>
      <c r="E33" s="117">
        <v>58354</v>
      </c>
      <c r="F33" s="118">
        <f t="shared" si="2"/>
        <v>0.23885952062501326</v>
      </c>
      <c r="G33" s="117">
        <v>58643</v>
      </c>
      <c r="H33" s="118">
        <f t="shared" si="2"/>
        <v>4.9525311032663222E-3</v>
      </c>
      <c r="I33" s="117">
        <v>56752</v>
      </c>
      <c r="J33" s="118">
        <f t="shared" si="3"/>
        <v>-3.2245962860017352E-2</v>
      </c>
      <c r="K33" s="117">
        <v>59958</v>
      </c>
      <c r="L33" s="118">
        <f t="shared" si="4"/>
        <v>5.6491401184099344E-2</v>
      </c>
    </row>
    <row r="34" spans="2:13" x14ac:dyDescent="0.25">
      <c r="B34" s="116" t="s">
        <v>82</v>
      </c>
      <c r="C34" s="117">
        <v>43531</v>
      </c>
      <c r="D34" s="118">
        <v>1.2258526358848494</v>
      </c>
      <c r="E34" s="117">
        <v>42717</v>
      </c>
      <c r="F34" s="118">
        <f t="shared" si="2"/>
        <v>-1.8699317727596476E-2</v>
      </c>
      <c r="G34" s="117">
        <v>46133</v>
      </c>
      <c r="H34" s="118">
        <f t="shared" si="2"/>
        <v>7.9968162558232025E-2</v>
      </c>
      <c r="I34" s="117">
        <v>47123</v>
      </c>
      <c r="J34" s="118">
        <f t="shared" si="3"/>
        <v>2.1459692627836979E-2</v>
      </c>
      <c r="K34" s="117">
        <v>49320</v>
      </c>
      <c r="L34" s="118">
        <f t="shared" si="4"/>
        <v>4.6622668336056661E-2</v>
      </c>
    </row>
    <row r="35" spans="2:13" x14ac:dyDescent="0.25">
      <c r="B35" s="116" t="s">
        <v>84</v>
      </c>
      <c r="C35" s="117">
        <v>44866</v>
      </c>
      <c r="D35" s="118">
        <v>0.8674713839750261</v>
      </c>
      <c r="E35" s="117">
        <v>42611</v>
      </c>
      <c r="F35" s="118">
        <f t="shared" si="2"/>
        <v>-5.0260776534569618E-2</v>
      </c>
      <c r="G35" s="117">
        <v>38316</v>
      </c>
      <c r="H35" s="118">
        <f t="shared" si="2"/>
        <v>-0.10079556921921573</v>
      </c>
      <c r="I35" s="117">
        <v>45582</v>
      </c>
      <c r="J35" s="118">
        <f t="shared" si="3"/>
        <v>0.18963357344190412</v>
      </c>
      <c r="K35" s="117">
        <v>46526</v>
      </c>
      <c r="L35" s="118">
        <f t="shared" si="4"/>
        <v>2.0709929358079915E-2</v>
      </c>
    </row>
    <row r="36" spans="2:13" x14ac:dyDescent="0.25">
      <c r="B36" s="116" t="s">
        <v>86</v>
      </c>
      <c r="C36" s="117">
        <v>40470</v>
      </c>
      <c r="D36" s="118">
        <v>0.51035640977794361</v>
      </c>
      <c r="E36" s="117">
        <v>38639</v>
      </c>
      <c r="F36" s="118">
        <f t="shared" si="2"/>
        <v>-4.5243390165554787E-2</v>
      </c>
      <c r="G36" s="117">
        <v>40074</v>
      </c>
      <c r="H36" s="118">
        <f t="shared" si="2"/>
        <v>3.7138642304407554E-2</v>
      </c>
      <c r="I36" s="117">
        <v>42497</v>
      </c>
      <c r="J36" s="118">
        <f t="shared" si="3"/>
        <v>6.0463143185107482E-2</v>
      </c>
      <c r="K36" s="117">
        <v>40082</v>
      </c>
      <c r="L36" s="118">
        <f t="shared" si="4"/>
        <v>-5.6827540767583562E-2</v>
      </c>
    </row>
    <row r="37" spans="2:13" x14ac:dyDescent="0.25">
      <c r="B37" s="116" t="s">
        <v>88</v>
      </c>
      <c r="C37" s="117">
        <v>43286</v>
      </c>
      <c r="D37" s="118">
        <v>0.38630540609787345</v>
      </c>
      <c r="E37" s="117">
        <v>41786</v>
      </c>
      <c r="F37" s="118">
        <f t="shared" si="2"/>
        <v>-3.4653236612299576E-2</v>
      </c>
      <c r="G37" s="117">
        <v>45242</v>
      </c>
      <c r="H37" s="118">
        <f t="shared" si="2"/>
        <v>8.2707126788876595E-2</v>
      </c>
      <c r="I37" s="117">
        <v>49837</v>
      </c>
      <c r="J37" s="118">
        <f t="shared" si="3"/>
        <v>0.10156491755448482</v>
      </c>
      <c r="K37" s="117">
        <v>47307</v>
      </c>
      <c r="L37" s="118">
        <f t="shared" si="4"/>
        <v>-5.0765495515380121E-2</v>
      </c>
    </row>
    <row r="38" spans="2:13" x14ac:dyDescent="0.25">
      <c r="B38" s="116" t="s">
        <v>90</v>
      </c>
      <c r="C38" s="117">
        <v>41695</v>
      </c>
      <c r="D38" s="118">
        <v>0.15335675361677414</v>
      </c>
      <c r="E38" s="117">
        <v>43373</v>
      </c>
      <c r="F38" s="118">
        <f t="shared" si="2"/>
        <v>4.0244633649118677E-2</v>
      </c>
      <c r="G38" s="117">
        <v>42595</v>
      </c>
      <c r="H38" s="118">
        <f t="shared" si="2"/>
        <v>-1.7937426509579746E-2</v>
      </c>
      <c r="I38" s="117">
        <v>49206</v>
      </c>
      <c r="J38" s="118">
        <f t="shared" si="3"/>
        <v>0.15520601009508161</v>
      </c>
      <c r="K38" s="117"/>
      <c r="L38" s="118"/>
    </row>
    <row r="39" spans="2:13" x14ac:dyDescent="0.25">
      <c r="B39" s="116" t="s">
        <v>92</v>
      </c>
      <c r="C39" s="117">
        <v>42224</v>
      </c>
      <c r="D39" s="118">
        <v>0.16634440086183089</v>
      </c>
      <c r="E39" s="117">
        <v>40151</v>
      </c>
      <c r="F39" s="118">
        <f t="shared" si="2"/>
        <v>-4.9095301250473677E-2</v>
      </c>
      <c r="G39" s="117">
        <v>43154</v>
      </c>
      <c r="H39" s="118">
        <f t="shared" si="2"/>
        <v>7.479265771711785E-2</v>
      </c>
      <c r="I39" s="117">
        <v>47691</v>
      </c>
      <c r="J39" s="118">
        <f t="shared" si="3"/>
        <v>0.10513509755758443</v>
      </c>
      <c r="K39" s="117"/>
      <c r="L39" s="118"/>
    </row>
    <row r="40" spans="2:13" x14ac:dyDescent="0.25">
      <c r="B40" s="116" t="s">
        <v>94</v>
      </c>
      <c r="C40" s="117">
        <v>48246</v>
      </c>
      <c r="D40" s="118">
        <v>0.12763819095477391</v>
      </c>
      <c r="E40" s="117">
        <v>49321</v>
      </c>
      <c r="F40" s="118">
        <f t="shared" si="2"/>
        <v>2.2281639928698693E-2</v>
      </c>
      <c r="G40" s="117">
        <v>43124</v>
      </c>
      <c r="H40" s="118">
        <f t="shared" si="2"/>
        <v>-0.1256462764339733</v>
      </c>
      <c r="I40" s="117">
        <v>55510</v>
      </c>
      <c r="J40" s="118">
        <f t="shared" si="3"/>
        <v>0.28721825433633241</v>
      </c>
      <c r="K40" s="117"/>
      <c r="L40" s="118"/>
    </row>
    <row r="41" spans="2:13" x14ac:dyDescent="0.25">
      <c r="B41" s="116" t="s">
        <v>96</v>
      </c>
      <c r="C41" s="117">
        <v>56046</v>
      </c>
      <c r="D41" s="118">
        <v>0.14039799780246609</v>
      </c>
      <c r="E41" s="117">
        <v>55991</v>
      </c>
      <c r="F41" s="118">
        <f t="shared" si="2"/>
        <v>-9.8133675909073403E-4</v>
      </c>
      <c r="G41" s="117">
        <v>53169</v>
      </c>
      <c r="H41" s="118">
        <f t="shared" si="2"/>
        <v>-5.0400957296708349E-2</v>
      </c>
      <c r="I41" s="117">
        <v>56612</v>
      </c>
      <c r="J41" s="118">
        <f t="shared" si="3"/>
        <v>6.4755778743252668E-2</v>
      </c>
      <c r="K41" s="117"/>
      <c r="L41" s="118"/>
    </row>
    <row r="42" spans="2:13" x14ac:dyDescent="0.25">
      <c r="B42" s="116" t="s">
        <v>98</v>
      </c>
      <c r="C42" s="117">
        <v>54058</v>
      </c>
      <c r="D42" s="118">
        <v>0.15644453952294368</v>
      </c>
      <c r="E42" s="117">
        <v>53126</v>
      </c>
      <c r="F42" s="118">
        <f t="shared" si="2"/>
        <v>-1.7240741425875949E-2</v>
      </c>
      <c r="G42" s="117">
        <v>55215</v>
      </c>
      <c r="H42" s="118">
        <f t="shared" si="2"/>
        <v>3.9321612769642078E-2</v>
      </c>
      <c r="I42" s="117">
        <v>54945</v>
      </c>
      <c r="J42" s="118">
        <f t="shared" si="3"/>
        <v>-4.8899755501222719E-3</v>
      </c>
      <c r="K42" s="117"/>
      <c r="L42" s="118"/>
    </row>
    <row r="43" spans="2:13" ht="15.75" x14ac:dyDescent="0.25">
      <c r="B43" s="119" t="s">
        <v>32</v>
      </c>
      <c r="C43" s="120">
        <v>543499</v>
      </c>
      <c r="D43" s="121">
        <v>0.51321244316742254</v>
      </c>
      <c r="E43" s="120">
        <v>577841</v>
      </c>
      <c r="F43" s="121">
        <f t="shared" si="2"/>
        <v>6.3186868789087081E-2</v>
      </c>
      <c r="G43" s="120">
        <v>583363</v>
      </c>
      <c r="H43" s="121">
        <f t="shared" si="2"/>
        <v>9.5562620167140011E-3</v>
      </c>
      <c r="I43" s="120">
        <v>615470</v>
      </c>
      <c r="J43" s="121">
        <f t="shared" si="3"/>
        <v>5.5037772364719739E-2</v>
      </c>
      <c r="K43" s="120">
        <v>362919</v>
      </c>
      <c r="L43" s="121">
        <v>3.2468862551421562E-2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8" spans="2:13" ht="48.75" customHeight="1" thickBot="1" x14ac:dyDescent="0.3">
      <c r="B48" s="273" t="s">
        <v>294</v>
      </c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2"/>
      <c r="C50" s="298" t="s">
        <v>154</v>
      </c>
      <c r="D50" s="299"/>
      <c r="E50" s="299"/>
      <c r="F50" s="299"/>
      <c r="G50" s="299"/>
      <c r="H50" s="299"/>
      <c r="I50" s="299"/>
      <c r="J50" s="299"/>
      <c r="K50" s="299"/>
      <c r="L50" s="299"/>
    </row>
    <row r="51" spans="1:13" ht="22.5" thickTop="1" thickBot="1" x14ac:dyDescent="0.3">
      <c r="B51" s="112"/>
      <c r="C51" s="303">
        <f>C$7</f>
        <v>2022</v>
      </c>
      <c r="D51" s="301"/>
      <c r="E51" s="303">
        <f>E$7</f>
        <v>2023</v>
      </c>
      <c r="F51" s="301"/>
      <c r="G51" s="303">
        <f>G$7</f>
        <v>2024</v>
      </c>
      <c r="H51" s="301"/>
      <c r="I51" s="303">
        <f>I$7</f>
        <v>2025</v>
      </c>
      <c r="J51" s="301"/>
      <c r="K51" s="300">
        <f>K$7</f>
        <v>2026</v>
      </c>
      <c r="L51" s="302"/>
    </row>
    <row r="52" spans="1:13" ht="16.5" thickTop="1" thickBot="1" x14ac:dyDescent="0.3">
      <c r="B52" s="87"/>
      <c r="C52" s="113" t="s">
        <v>74</v>
      </c>
      <c r="D52" s="114" t="str">
        <f>CONCATENATE("var ",RIGHT(C51,2),"/",RIGHT(C51-1,2))</f>
        <v>var 22/21</v>
      </c>
      <c r="E52" s="115" t="s">
        <v>74</v>
      </c>
      <c r="F52" s="114" t="str">
        <f>CONCATENATE("var ",RIGHT(E51,2),"/",RIGHT(C51,2))</f>
        <v>var 23/22</v>
      </c>
      <c r="G52" s="115" t="s">
        <v>74</v>
      </c>
      <c r="H52" s="114" t="str">
        <f>CONCATENATE("var ",RIGHT(G51,2),"/",RIGHT(E51,2))</f>
        <v>var 24/23</v>
      </c>
      <c r="I52" s="115" t="s">
        <v>74</v>
      </c>
      <c r="J52" s="114" t="str">
        <f>CONCATENATE("var ",RIGHT(I51,2),"/",RIGHT(G51,2))</f>
        <v>var 25/24</v>
      </c>
      <c r="K52" s="115" t="s">
        <v>74</v>
      </c>
      <c r="L52" s="114" t="str">
        <f>CONCATENATE("var ",RIGHT(K51,2),"/",RIGHT(I51,2))</f>
        <v>var 26/25</v>
      </c>
    </row>
    <row r="53" spans="1:13" x14ac:dyDescent="0.25">
      <c r="A53" s="1"/>
      <c r="B53" s="116" t="s">
        <v>76</v>
      </c>
      <c r="C53" s="117">
        <v>25732</v>
      </c>
      <c r="D53" s="118">
        <v>6.7952135716449558</v>
      </c>
      <c r="E53" s="117">
        <v>35523</v>
      </c>
      <c r="F53" s="118">
        <f t="shared" ref="F53:H65" si="5">IFERROR(E53/C53-1,"-")</f>
        <v>0.38049898958495265</v>
      </c>
      <c r="G53" s="117">
        <v>36646</v>
      </c>
      <c r="H53" s="118">
        <f t="shared" si="5"/>
        <v>3.1613320946991985E-2</v>
      </c>
      <c r="I53" s="117">
        <v>39716</v>
      </c>
      <c r="J53" s="118">
        <f t="shared" ref="J53:J65" si="6">IFERROR(I53/G53-1,"-")</f>
        <v>8.3774491076788804E-2</v>
      </c>
      <c r="K53" s="117">
        <v>40288</v>
      </c>
      <c r="L53" s="118">
        <f t="shared" ref="L53:L59" si="7">IFERROR(K53/I53-1,"-")</f>
        <v>1.4402256017725934E-2</v>
      </c>
    </row>
    <row r="54" spans="1:13" x14ac:dyDescent="0.25">
      <c r="A54" s="1">
        <v>2</v>
      </c>
      <c r="B54" s="116" t="s">
        <v>78</v>
      </c>
      <c r="C54" s="117">
        <v>27332</v>
      </c>
      <c r="D54" s="118">
        <v>2.6072324138841232</v>
      </c>
      <c r="E54" s="117">
        <v>32889</v>
      </c>
      <c r="F54" s="118">
        <f t="shared" si="5"/>
        <v>0.2033147958436996</v>
      </c>
      <c r="G54" s="117">
        <v>33731</v>
      </c>
      <c r="H54" s="118">
        <f t="shared" si="5"/>
        <v>2.5601264860591666E-2</v>
      </c>
      <c r="I54" s="117">
        <v>36223</v>
      </c>
      <c r="J54" s="118">
        <f t="shared" si="6"/>
        <v>7.3878627968337662E-2</v>
      </c>
      <c r="K54" s="117">
        <v>40040</v>
      </c>
      <c r="L54" s="118">
        <f t="shared" si="7"/>
        <v>0.10537503795930769</v>
      </c>
    </row>
    <row r="55" spans="1:13" x14ac:dyDescent="0.25">
      <c r="A55" s="1">
        <v>3</v>
      </c>
      <c r="B55" s="116" t="s">
        <v>80</v>
      </c>
      <c r="C55" s="117">
        <v>30980</v>
      </c>
      <c r="D55" s="118">
        <v>1.3919085855466338</v>
      </c>
      <c r="E55" s="117">
        <v>34565</v>
      </c>
      <c r="F55" s="118">
        <f t="shared" si="5"/>
        <v>0.11571981923821828</v>
      </c>
      <c r="G55" s="117">
        <v>33512</v>
      </c>
      <c r="H55" s="118">
        <f t="shared" si="5"/>
        <v>-3.0464342543034872E-2</v>
      </c>
      <c r="I55" s="117">
        <v>38616</v>
      </c>
      <c r="J55" s="118">
        <f t="shared" si="6"/>
        <v>0.15230365242301258</v>
      </c>
      <c r="K55" s="117">
        <v>40323</v>
      </c>
      <c r="L55" s="118">
        <f t="shared" si="7"/>
        <v>4.4204474829086404E-2</v>
      </c>
    </row>
    <row r="56" spans="1:13" x14ac:dyDescent="0.25">
      <c r="A56" s="1">
        <v>4</v>
      </c>
      <c r="B56" s="116" t="s">
        <v>82</v>
      </c>
      <c r="C56" s="117">
        <v>29287</v>
      </c>
      <c r="D56" s="118">
        <v>1.2397522178036096</v>
      </c>
      <c r="E56" s="117">
        <v>27273</v>
      </c>
      <c r="F56" s="118">
        <f t="shared" si="5"/>
        <v>-6.8767712637006206E-2</v>
      </c>
      <c r="G56" s="117">
        <v>28433</v>
      </c>
      <c r="H56" s="118">
        <f t="shared" si="5"/>
        <v>4.2532908004253356E-2</v>
      </c>
      <c r="I56" s="117">
        <v>32762</v>
      </c>
      <c r="J56" s="118">
        <f t="shared" si="6"/>
        <v>0.15225266415784477</v>
      </c>
      <c r="K56" s="117">
        <v>32982</v>
      </c>
      <c r="L56" s="118">
        <f t="shared" si="7"/>
        <v>6.7150967584397314E-3</v>
      </c>
    </row>
    <row r="57" spans="1:13" x14ac:dyDescent="0.25">
      <c r="A57" s="1">
        <v>5</v>
      </c>
      <c r="B57" s="116" t="s">
        <v>84</v>
      </c>
      <c r="C57" s="117">
        <v>26797</v>
      </c>
      <c r="D57" s="118">
        <v>0.65219803933658049</v>
      </c>
      <c r="E57" s="117">
        <v>24835</v>
      </c>
      <c r="F57" s="118">
        <f t="shared" si="5"/>
        <v>-7.3217151173638806E-2</v>
      </c>
      <c r="G57" s="117">
        <v>22675</v>
      </c>
      <c r="H57" s="118">
        <f t="shared" si="5"/>
        <v>-8.6974028588685304E-2</v>
      </c>
      <c r="I57" s="117">
        <v>31774</v>
      </c>
      <c r="J57" s="118">
        <f t="shared" si="6"/>
        <v>0.40127894156560084</v>
      </c>
      <c r="K57" s="117">
        <v>33700</v>
      </c>
      <c r="L57" s="118">
        <f t="shared" si="7"/>
        <v>6.0615597658462805E-2</v>
      </c>
    </row>
    <row r="58" spans="1:13" x14ac:dyDescent="0.25">
      <c r="A58" s="1">
        <v>6</v>
      </c>
      <c r="B58" s="116" t="s">
        <v>86</v>
      </c>
      <c r="C58" s="117">
        <v>24434</v>
      </c>
      <c r="D58" s="118">
        <v>0.35496035046858543</v>
      </c>
      <c r="E58" s="117">
        <v>22412</v>
      </c>
      <c r="F58" s="118">
        <f t="shared" si="5"/>
        <v>-8.2753540148972737E-2</v>
      </c>
      <c r="G58" s="117">
        <v>24289</v>
      </c>
      <c r="H58" s="118">
        <f t="shared" si="5"/>
        <v>8.3749776905229334E-2</v>
      </c>
      <c r="I58" s="117">
        <v>29665</v>
      </c>
      <c r="J58" s="118">
        <f t="shared" si="6"/>
        <v>0.22133476059121415</v>
      </c>
      <c r="K58" s="117">
        <v>28325</v>
      </c>
      <c r="L58" s="118">
        <f t="shared" si="7"/>
        <v>-4.5171077026799233E-2</v>
      </c>
    </row>
    <row r="59" spans="1:13" x14ac:dyDescent="0.25">
      <c r="A59" s="1">
        <v>7</v>
      </c>
      <c r="B59" s="116" t="s">
        <v>88</v>
      </c>
      <c r="C59" s="117">
        <v>27739</v>
      </c>
      <c r="D59" s="118">
        <v>0.25204242834574586</v>
      </c>
      <c r="E59" s="117">
        <v>26131</v>
      </c>
      <c r="F59" s="118">
        <f t="shared" si="5"/>
        <v>-5.7968924618767792E-2</v>
      </c>
      <c r="G59" s="117">
        <v>28719</v>
      </c>
      <c r="H59" s="118">
        <f t="shared" si="5"/>
        <v>9.9039455053384851E-2</v>
      </c>
      <c r="I59" s="117">
        <v>36707</v>
      </c>
      <c r="J59" s="118">
        <f t="shared" si="6"/>
        <v>0.27814338939378103</v>
      </c>
      <c r="K59" s="117">
        <v>35280</v>
      </c>
      <c r="L59" s="118">
        <f t="shared" si="7"/>
        <v>-3.8875418857438615E-2</v>
      </c>
    </row>
    <row r="60" spans="1:13" x14ac:dyDescent="0.25">
      <c r="A60" s="1">
        <v>8</v>
      </c>
      <c r="B60" s="116" t="s">
        <v>90</v>
      </c>
      <c r="C60" s="117">
        <v>26708</v>
      </c>
      <c r="D60" s="118">
        <v>3.9100494105746453E-2</v>
      </c>
      <c r="E60" s="117">
        <v>29282</v>
      </c>
      <c r="F60" s="118">
        <f t="shared" si="5"/>
        <v>9.6375617792421764E-2</v>
      </c>
      <c r="G60" s="117">
        <v>30070</v>
      </c>
      <c r="H60" s="118">
        <f t="shared" si="5"/>
        <v>2.6910730141383787E-2</v>
      </c>
      <c r="I60" s="117">
        <v>37290</v>
      </c>
      <c r="J60" s="118">
        <f t="shared" si="6"/>
        <v>0.24010641835716662</v>
      </c>
      <c r="K60" s="117"/>
      <c r="L60" s="118"/>
    </row>
    <row r="61" spans="1:13" x14ac:dyDescent="0.25">
      <c r="A61" s="1">
        <v>9</v>
      </c>
      <c r="B61" s="116" t="s">
        <v>92</v>
      </c>
      <c r="C61" s="117">
        <v>24257</v>
      </c>
      <c r="D61" s="118">
        <v>-1.2366034624899935E-4</v>
      </c>
      <c r="E61" s="117">
        <v>26434</v>
      </c>
      <c r="F61" s="118">
        <f t="shared" si="5"/>
        <v>8.9747289442222877E-2</v>
      </c>
      <c r="G61" s="117">
        <v>29036</v>
      </c>
      <c r="H61" s="118">
        <f t="shared" si="5"/>
        <v>9.8433835212226706E-2</v>
      </c>
      <c r="I61" s="117">
        <v>34069</v>
      </c>
      <c r="J61" s="118">
        <f t="shared" si="6"/>
        <v>0.17333654773384755</v>
      </c>
      <c r="K61" s="117"/>
      <c r="L61" s="118"/>
    </row>
    <row r="62" spans="1:13" x14ac:dyDescent="0.25">
      <c r="A62" s="1">
        <v>10</v>
      </c>
      <c r="B62" s="116" t="s">
        <v>94</v>
      </c>
      <c r="C62" s="117">
        <v>27227</v>
      </c>
      <c r="D62" s="118">
        <v>-5.8149993081499929E-2</v>
      </c>
      <c r="E62" s="117">
        <v>31067</v>
      </c>
      <c r="F62" s="118">
        <f t="shared" si="5"/>
        <v>0.14103647114996143</v>
      </c>
      <c r="G62" s="117">
        <v>29987</v>
      </c>
      <c r="H62" s="118">
        <f t="shared" si="5"/>
        <v>-3.4763575498116928E-2</v>
      </c>
      <c r="I62" s="117">
        <v>38768</v>
      </c>
      <c r="J62" s="118">
        <f t="shared" si="6"/>
        <v>0.29282689165304965</v>
      </c>
      <c r="K62" s="117"/>
      <c r="L62" s="118"/>
    </row>
    <row r="63" spans="1:13" x14ac:dyDescent="0.25">
      <c r="A63" s="1">
        <v>11</v>
      </c>
      <c r="B63" s="116" t="s">
        <v>96</v>
      </c>
      <c r="C63" s="117">
        <v>33332</v>
      </c>
      <c r="D63" s="118">
        <v>2.5473787841496343E-2</v>
      </c>
      <c r="E63" s="117">
        <v>34767</v>
      </c>
      <c r="F63" s="118">
        <f t="shared" si="5"/>
        <v>4.3051722068882858E-2</v>
      </c>
      <c r="G63" s="117">
        <v>36706</v>
      </c>
      <c r="H63" s="118">
        <f t="shared" si="5"/>
        <v>5.5771277360715521E-2</v>
      </c>
      <c r="I63" s="117">
        <v>38946</v>
      </c>
      <c r="J63" s="118">
        <f t="shared" si="6"/>
        <v>6.1025445431264647E-2</v>
      </c>
      <c r="K63" s="117"/>
      <c r="L63" s="118"/>
    </row>
    <row r="64" spans="1:13" x14ac:dyDescent="0.25">
      <c r="A64" s="1">
        <v>12</v>
      </c>
      <c r="B64" s="116" t="s">
        <v>98</v>
      </c>
      <c r="C64" s="117">
        <v>31034</v>
      </c>
      <c r="D64" s="118">
        <v>2.7854138376444793E-2</v>
      </c>
      <c r="E64" s="117">
        <v>32286</v>
      </c>
      <c r="F64" s="118">
        <f t="shared" si="5"/>
        <v>4.0342849777663226E-2</v>
      </c>
      <c r="G64" s="117">
        <v>37306</v>
      </c>
      <c r="H64" s="118">
        <f t="shared" si="5"/>
        <v>0.15548534968717087</v>
      </c>
      <c r="I64" s="117">
        <v>36917</v>
      </c>
      <c r="J64" s="118">
        <f t="shared" si="6"/>
        <v>-1.042727711360103E-2</v>
      </c>
      <c r="K64" s="117"/>
      <c r="L64" s="118"/>
    </row>
    <row r="65" spans="1:13" ht="15.75" x14ac:dyDescent="0.25">
      <c r="B65" s="119" t="s">
        <v>32</v>
      </c>
      <c r="C65" s="120">
        <v>334859</v>
      </c>
      <c r="D65" s="121">
        <v>0.42565384173262211</v>
      </c>
      <c r="E65" s="120">
        <v>357464</v>
      </c>
      <c r="F65" s="121">
        <f t="shared" si="5"/>
        <v>6.7506024923923214E-2</v>
      </c>
      <c r="G65" s="120">
        <v>371110</v>
      </c>
      <c r="H65" s="121">
        <f t="shared" si="5"/>
        <v>3.8174473513416629E-2</v>
      </c>
      <c r="I65" s="120">
        <v>431453</v>
      </c>
      <c r="J65" s="121">
        <f t="shared" si="6"/>
        <v>0.16260138503408683</v>
      </c>
      <c r="K65" s="120">
        <v>250938</v>
      </c>
      <c r="L65" s="121">
        <v>2.230478727954921E-2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70" spans="1:13" ht="48.75" customHeight="1" thickBot="1" x14ac:dyDescent="0.3">
      <c r="B70" s="273" t="s">
        <v>295</v>
      </c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2"/>
      <c r="C72" s="298" t="s">
        <v>70</v>
      </c>
      <c r="D72" s="299"/>
      <c r="E72" s="299"/>
      <c r="F72" s="299"/>
      <c r="G72" s="299"/>
      <c r="H72" s="299"/>
      <c r="I72" s="299"/>
      <c r="J72" s="299"/>
      <c r="K72" s="299"/>
      <c r="L72" s="299"/>
    </row>
    <row r="73" spans="1:13" ht="22.5" thickTop="1" thickBot="1" x14ac:dyDescent="0.3">
      <c r="B73" s="112"/>
      <c r="C73" s="303">
        <f>C$7</f>
        <v>2022</v>
      </c>
      <c r="D73" s="301"/>
      <c r="E73" s="303">
        <f>E$7</f>
        <v>2023</v>
      </c>
      <c r="F73" s="301"/>
      <c r="G73" s="303">
        <f>G$7</f>
        <v>2024</v>
      </c>
      <c r="H73" s="301"/>
      <c r="I73" s="303">
        <f>I$7</f>
        <v>2025</v>
      </c>
      <c r="J73" s="301"/>
      <c r="K73" s="300">
        <f>K$7</f>
        <v>2026</v>
      </c>
      <c r="L73" s="302"/>
    </row>
    <row r="74" spans="1:13" ht="16.5" thickTop="1" thickBot="1" x14ac:dyDescent="0.3">
      <c r="B74" s="87"/>
      <c r="C74" s="113" t="s">
        <v>74</v>
      </c>
      <c r="D74" s="114" t="str">
        <f>CONCATENATE("var ",RIGHT(C73,2),"/",RIGHT(C73-1,2))</f>
        <v>var 22/21</v>
      </c>
      <c r="E74" s="115" t="s">
        <v>74</v>
      </c>
      <c r="F74" s="114" t="str">
        <f>CONCATENATE("var ",RIGHT(E73,2),"/",RIGHT(C73,2))</f>
        <v>var 23/22</v>
      </c>
      <c r="G74" s="115" t="s">
        <v>74</v>
      </c>
      <c r="H74" s="114" t="str">
        <f>CONCATENATE("var ",RIGHT(G73,2),"/",RIGHT(E73,2))</f>
        <v>var 24/23</v>
      </c>
      <c r="I74" s="115" t="s">
        <v>74</v>
      </c>
      <c r="J74" s="114" t="str">
        <f>CONCATENATE("var ",RIGHT(I73,2),"/",RIGHT(G73,2))</f>
        <v>var 25/24</v>
      </c>
      <c r="K74" s="115" t="s">
        <v>74</v>
      </c>
      <c r="L74" s="114" t="str">
        <f>CONCATENATE("var ",RIGHT(K73,2),"/",RIGHT(I73,2))</f>
        <v>var 26/25</v>
      </c>
    </row>
    <row r="75" spans="1:13" x14ac:dyDescent="0.25">
      <c r="A75" s="1">
        <v>1</v>
      </c>
      <c r="B75" s="116" t="s">
        <v>76</v>
      </c>
      <c r="C75" s="117">
        <v>14333</v>
      </c>
      <c r="D75" s="118">
        <v>1.4853476677648692</v>
      </c>
      <c r="E75" s="117">
        <v>24055</v>
      </c>
      <c r="F75" s="118">
        <f t="shared" ref="F75:H87" si="8">IFERROR(E75/C75-1,"-")</f>
        <v>0.67829484406614116</v>
      </c>
      <c r="G75" s="117">
        <v>25095</v>
      </c>
      <c r="H75" s="118">
        <f t="shared" si="8"/>
        <v>4.3234254832675179E-2</v>
      </c>
      <c r="I75" s="117">
        <v>17361</v>
      </c>
      <c r="J75" s="118">
        <f t="shared" ref="J75:J87" si="9">IFERROR(I75/G75-1,"-")</f>
        <v>-0.30818888224745966</v>
      </c>
      <c r="K75" s="117">
        <v>21027</v>
      </c>
      <c r="L75" s="118">
        <f t="shared" ref="L75:L81" si="10">IFERROR(K75/I75-1,"-")</f>
        <v>0.21116295144288921</v>
      </c>
    </row>
    <row r="76" spans="1:13" x14ac:dyDescent="0.25">
      <c r="A76" s="1">
        <v>2</v>
      </c>
      <c r="B76" s="116" t="s">
        <v>78</v>
      </c>
      <c r="C76" s="117">
        <v>14577</v>
      </c>
      <c r="D76" s="118">
        <v>0.9269001982815599</v>
      </c>
      <c r="E76" s="117">
        <v>19305</v>
      </c>
      <c r="F76" s="118">
        <f t="shared" si="8"/>
        <v>0.32434657336900607</v>
      </c>
      <c r="G76" s="117">
        <v>22226</v>
      </c>
      <c r="H76" s="118">
        <f t="shared" si="8"/>
        <v>0.15130795130795138</v>
      </c>
      <c r="I76" s="117">
        <v>16415</v>
      </c>
      <c r="J76" s="118">
        <f t="shared" si="9"/>
        <v>-0.26145055340592094</v>
      </c>
      <c r="K76" s="117">
        <v>18371</v>
      </c>
      <c r="L76" s="118">
        <f t="shared" si="10"/>
        <v>0.11915930551325005</v>
      </c>
    </row>
    <row r="77" spans="1:13" x14ac:dyDescent="0.25">
      <c r="A77" s="1">
        <v>3</v>
      </c>
      <c r="B77" s="116" t="s">
        <v>80</v>
      </c>
      <c r="C77" s="117">
        <v>16123</v>
      </c>
      <c r="D77" s="118">
        <v>0.71941985709715262</v>
      </c>
      <c r="E77" s="117">
        <v>23789</v>
      </c>
      <c r="F77" s="118">
        <f t="shared" si="8"/>
        <v>0.47546982571481733</v>
      </c>
      <c r="G77" s="117">
        <v>25131</v>
      </c>
      <c r="H77" s="118">
        <f t="shared" si="8"/>
        <v>5.6412627685064498E-2</v>
      </c>
      <c r="I77" s="117">
        <v>18136</v>
      </c>
      <c r="J77" s="118">
        <f t="shared" si="9"/>
        <v>-0.27834149058931201</v>
      </c>
      <c r="K77" s="117">
        <v>19635</v>
      </c>
      <c r="L77" s="118">
        <f t="shared" si="10"/>
        <v>8.2653286281429095E-2</v>
      </c>
    </row>
    <row r="78" spans="1:13" x14ac:dyDescent="0.25">
      <c r="A78" s="1">
        <v>4</v>
      </c>
      <c r="B78" s="116" t="s">
        <v>82</v>
      </c>
      <c r="C78" s="117">
        <v>14244</v>
      </c>
      <c r="D78" s="118">
        <v>1.1978089800956644</v>
      </c>
      <c r="E78" s="117">
        <v>15444</v>
      </c>
      <c r="F78" s="118">
        <f t="shared" si="8"/>
        <v>8.4245998315080062E-2</v>
      </c>
      <c r="G78" s="117">
        <v>17700</v>
      </c>
      <c r="H78" s="118">
        <f t="shared" si="8"/>
        <v>0.14607614607614616</v>
      </c>
      <c r="I78" s="117">
        <v>14361</v>
      </c>
      <c r="J78" s="118">
        <f t="shared" si="9"/>
        <v>-0.18864406779661014</v>
      </c>
      <c r="K78" s="117">
        <v>16338</v>
      </c>
      <c r="L78" s="118">
        <f t="shared" si="10"/>
        <v>0.13766450804261532</v>
      </c>
    </row>
    <row r="79" spans="1:13" x14ac:dyDescent="0.25">
      <c r="A79" s="1">
        <v>5</v>
      </c>
      <c r="B79" s="116" t="s">
        <v>84</v>
      </c>
      <c r="C79" s="117">
        <v>18069</v>
      </c>
      <c r="D79" s="118">
        <v>1.3147578785549578</v>
      </c>
      <c r="E79" s="117">
        <v>17776</v>
      </c>
      <c r="F79" s="118">
        <f t="shared" si="8"/>
        <v>-1.6215617909126179E-2</v>
      </c>
      <c r="G79" s="117">
        <v>15641</v>
      </c>
      <c r="H79" s="118">
        <f t="shared" si="8"/>
        <v>-0.1201057605760576</v>
      </c>
      <c r="I79" s="117">
        <v>13808</v>
      </c>
      <c r="J79" s="118">
        <f t="shared" si="9"/>
        <v>-0.11719199539671377</v>
      </c>
      <c r="K79" s="117">
        <v>12826</v>
      </c>
      <c r="L79" s="118">
        <f t="shared" si="10"/>
        <v>-7.1118192352259579E-2</v>
      </c>
    </row>
    <row r="80" spans="1:13" x14ac:dyDescent="0.25">
      <c r="A80" s="1">
        <v>6</v>
      </c>
      <c r="B80" s="116" t="s">
        <v>86</v>
      </c>
      <c r="C80" s="117">
        <v>16036</v>
      </c>
      <c r="D80" s="118">
        <v>0.83017575895914164</v>
      </c>
      <c r="E80" s="117">
        <v>16227</v>
      </c>
      <c r="F80" s="118">
        <f t="shared" si="8"/>
        <v>1.1910700922923345E-2</v>
      </c>
      <c r="G80" s="117">
        <v>15785</v>
      </c>
      <c r="H80" s="118">
        <f t="shared" si="8"/>
        <v>-2.7238553028902435E-2</v>
      </c>
      <c r="I80" s="117">
        <v>12832</v>
      </c>
      <c r="J80" s="118">
        <f t="shared" si="9"/>
        <v>-0.18707633829585046</v>
      </c>
      <c r="K80" s="117">
        <v>11757</v>
      </c>
      <c r="L80" s="118">
        <f t="shared" si="10"/>
        <v>-8.3774937655860304E-2</v>
      </c>
    </row>
    <row r="81" spans="1:12" x14ac:dyDescent="0.25">
      <c r="A81" s="1">
        <v>7</v>
      </c>
      <c r="B81" s="116" t="s">
        <v>88</v>
      </c>
      <c r="C81" s="117">
        <v>15547</v>
      </c>
      <c r="D81" s="118">
        <v>0.71430146653434767</v>
      </c>
      <c r="E81" s="117">
        <v>15655</v>
      </c>
      <c r="F81" s="118">
        <f t="shared" si="8"/>
        <v>6.9466778156557218E-3</v>
      </c>
      <c r="G81" s="117">
        <v>16523</v>
      </c>
      <c r="H81" s="118">
        <f t="shared" si="8"/>
        <v>5.5445544554455495E-2</v>
      </c>
      <c r="I81" s="117">
        <v>13130</v>
      </c>
      <c r="J81" s="118">
        <f t="shared" si="9"/>
        <v>-0.20535011801730918</v>
      </c>
      <c r="K81" s="117">
        <v>12027</v>
      </c>
      <c r="L81" s="118">
        <f t="shared" si="10"/>
        <v>-8.4006092916984021E-2</v>
      </c>
    </row>
    <row r="82" spans="1:12" x14ac:dyDescent="0.25">
      <c r="A82" s="1">
        <v>8</v>
      </c>
      <c r="B82" s="116" t="s">
        <v>90</v>
      </c>
      <c r="C82" s="117">
        <v>14987</v>
      </c>
      <c r="D82" s="118">
        <v>0.43443721286370596</v>
      </c>
      <c r="E82" s="117">
        <v>14091</v>
      </c>
      <c r="F82" s="118">
        <f t="shared" si="8"/>
        <v>-5.9785147127510485E-2</v>
      </c>
      <c r="G82" s="117">
        <v>12525</v>
      </c>
      <c r="H82" s="118">
        <f t="shared" si="8"/>
        <v>-0.11113476687247181</v>
      </c>
      <c r="I82" s="117">
        <v>11916</v>
      </c>
      <c r="J82" s="118">
        <f t="shared" si="9"/>
        <v>-4.8622754491017939E-2</v>
      </c>
      <c r="K82" s="117"/>
      <c r="L82" s="118"/>
    </row>
    <row r="83" spans="1:12" x14ac:dyDescent="0.25">
      <c r="A83" s="1">
        <v>9</v>
      </c>
      <c r="B83" s="116" t="s">
        <v>92</v>
      </c>
      <c r="C83" s="117">
        <v>17967</v>
      </c>
      <c r="D83" s="118">
        <v>0.50452185563557195</v>
      </c>
      <c r="E83" s="117">
        <v>13717</v>
      </c>
      <c r="F83" s="118">
        <f t="shared" si="8"/>
        <v>-0.23654477653475814</v>
      </c>
      <c r="G83" s="117">
        <v>14118</v>
      </c>
      <c r="H83" s="118">
        <f t="shared" si="8"/>
        <v>2.9233797477582479E-2</v>
      </c>
      <c r="I83" s="117">
        <v>13622</v>
      </c>
      <c r="J83" s="118">
        <f t="shared" si="9"/>
        <v>-3.5132455021957831E-2</v>
      </c>
      <c r="K83" s="117"/>
      <c r="L83" s="118"/>
    </row>
    <row r="84" spans="1:12" x14ac:dyDescent="0.25">
      <c r="A84" s="1">
        <v>10</v>
      </c>
      <c r="B84" s="116" t="s">
        <v>94</v>
      </c>
      <c r="C84" s="117">
        <v>21019</v>
      </c>
      <c r="D84" s="118">
        <v>0.51466455285724577</v>
      </c>
      <c r="E84" s="117">
        <v>18254</v>
      </c>
      <c r="F84" s="118">
        <f t="shared" si="8"/>
        <v>-0.13154764736666824</v>
      </c>
      <c r="G84" s="117">
        <v>13137</v>
      </c>
      <c r="H84" s="118">
        <f t="shared" si="8"/>
        <v>-0.28032212117891964</v>
      </c>
      <c r="I84" s="117">
        <v>16742</v>
      </c>
      <c r="J84" s="118">
        <f t="shared" si="9"/>
        <v>0.27441577224632718</v>
      </c>
      <c r="K84" s="117"/>
      <c r="L84" s="118"/>
    </row>
    <row r="85" spans="1:12" x14ac:dyDescent="0.25">
      <c r="A85" s="1">
        <v>11</v>
      </c>
      <c r="B85" s="116" t="s">
        <v>96</v>
      </c>
      <c r="C85" s="117">
        <v>22714</v>
      </c>
      <c r="D85" s="118">
        <v>0.36485999278932812</v>
      </c>
      <c r="E85" s="117">
        <v>21224</v>
      </c>
      <c r="F85" s="118">
        <f t="shared" si="8"/>
        <v>-6.5598309412697065E-2</v>
      </c>
      <c r="G85" s="117">
        <v>16463</v>
      </c>
      <c r="H85" s="118">
        <f t="shared" si="8"/>
        <v>-0.22432152280437245</v>
      </c>
      <c r="I85" s="117">
        <v>17666</v>
      </c>
      <c r="J85" s="118">
        <f t="shared" si="9"/>
        <v>7.3072951466925939E-2</v>
      </c>
      <c r="K85" s="117"/>
      <c r="L85" s="118"/>
    </row>
    <row r="86" spans="1:12" x14ac:dyDescent="0.25">
      <c r="A86" s="1">
        <v>12</v>
      </c>
      <c r="B86" s="116" t="s">
        <v>98</v>
      </c>
      <c r="C86" s="117">
        <v>23024</v>
      </c>
      <c r="D86" s="118">
        <v>0.39101014983083626</v>
      </c>
      <c r="E86" s="117">
        <v>20840</v>
      </c>
      <c r="F86" s="118">
        <f t="shared" si="8"/>
        <v>-9.4857539958304371E-2</v>
      </c>
      <c r="G86" s="117">
        <v>17909</v>
      </c>
      <c r="H86" s="118">
        <f t="shared" si="8"/>
        <v>-0.14064299424184257</v>
      </c>
      <c r="I86" s="117">
        <v>18028</v>
      </c>
      <c r="J86" s="118">
        <f t="shared" si="9"/>
        <v>6.6447037802221942E-3</v>
      </c>
      <c r="K86" s="117"/>
      <c r="L86" s="118"/>
    </row>
    <row r="87" spans="1:12" ht="15.75" x14ac:dyDescent="0.25">
      <c r="B87" s="119" t="s">
        <v>32</v>
      </c>
      <c r="C87" s="120">
        <v>208640</v>
      </c>
      <c r="D87" s="121">
        <v>0.67868177136972196</v>
      </c>
      <c r="E87" s="120">
        <v>220377</v>
      </c>
      <c r="F87" s="121">
        <f t="shared" si="8"/>
        <v>5.6254792944785192E-2</v>
      </c>
      <c r="G87" s="120">
        <v>212253</v>
      </c>
      <c r="H87" s="121">
        <f t="shared" si="8"/>
        <v>-3.6864101063178056E-2</v>
      </c>
      <c r="I87" s="120">
        <v>184017</v>
      </c>
      <c r="J87" s="121">
        <f t="shared" si="9"/>
        <v>-0.13302992183856055</v>
      </c>
      <c r="K87" s="120">
        <v>111981</v>
      </c>
      <c r="L87" s="121">
        <v>5.599615250417278E-2</v>
      </c>
    </row>
    <row r="88" spans="1:12" ht="6" customHeight="1" x14ac:dyDescent="0.25"/>
    <row r="89" spans="1:12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3" spans="1:12" x14ac:dyDescent="0.25">
      <c r="C93" s="122"/>
    </row>
  </sheetData>
  <mergeCells count="28"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C8116-0E7B-463B-8F25-5FF8F899ACD6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4" spans="1:12" ht="42" customHeight="1" thickBot="1" x14ac:dyDescent="0.3">
      <c r="B4" s="273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273"/>
      <c r="D4" s="273"/>
      <c r="E4" s="273"/>
      <c r="F4" s="273"/>
      <c r="G4" s="273"/>
      <c r="H4" s="273"/>
      <c r="I4" s="273"/>
      <c r="J4" s="273"/>
      <c r="K4" s="273"/>
    </row>
    <row r="5" spans="1:12" ht="6" customHeight="1" x14ac:dyDescent="0.25"/>
    <row r="6" spans="1:12" s="146" customFormat="1" ht="72" customHeight="1" x14ac:dyDescent="0.25">
      <c r="B6" s="147"/>
      <c r="C6" s="172" t="s">
        <v>268</v>
      </c>
      <c r="D6" s="172" t="s">
        <v>234</v>
      </c>
      <c r="E6" s="172" t="s">
        <v>235</v>
      </c>
      <c r="F6" s="172" t="s">
        <v>236</v>
      </c>
      <c r="G6" s="172" t="s">
        <v>237</v>
      </c>
      <c r="H6" s="172" t="s">
        <v>238</v>
      </c>
      <c r="I6" s="173" t="str">
        <f>CONCATENATE("var. ",RIGHT(H6,2),"/",RIGHT(G6,2))</f>
        <v>var. 26/25</v>
      </c>
      <c r="J6" s="172" t="str">
        <f>CONCATENATE("dif. ",RIGHT(H6,2),"/",RIGHT(G6,2))</f>
        <v>dif. 26/25</v>
      </c>
      <c r="K6" s="173" t="str">
        <f>CONCATENATE("Cuota s/ total lugares de residencia ",RIGHT(H6,4))</f>
        <v>Cuota s/ total lugares de residencia 2026</v>
      </c>
    </row>
    <row r="7" spans="1:12" s="146" customFormat="1" x14ac:dyDescent="0.25">
      <c r="B7" s="152" t="s">
        <v>45</v>
      </c>
      <c r="C7" s="153"/>
      <c r="D7" s="153"/>
      <c r="E7" s="153"/>
      <c r="F7" s="153"/>
      <c r="G7" s="153"/>
      <c r="H7" s="153"/>
      <c r="I7" s="153"/>
      <c r="J7" s="153"/>
      <c r="K7" s="153"/>
    </row>
    <row r="8" spans="1:12" x14ac:dyDescent="0.25">
      <c r="A8" s="1"/>
      <c r="B8" s="156" t="s">
        <v>73</v>
      </c>
      <c r="C8" s="176">
        <v>1243542</v>
      </c>
      <c r="D8" s="176">
        <v>2966022</v>
      </c>
      <c r="E8" s="176">
        <v>3056353</v>
      </c>
      <c r="F8" s="176">
        <v>3194799</v>
      </c>
      <c r="G8" s="176">
        <v>3173278</v>
      </c>
      <c r="H8" s="176">
        <v>3103252</v>
      </c>
      <c r="I8" s="177">
        <f>IFERROR(H8/G8-1,"-")</f>
        <v>-2.2067401595447955E-2</v>
      </c>
      <c r="J8" s="176">
        <f>H8-G8</f>
        <v>-70026</v>
      </c>
      <c r="K8" s="177">
        <f>H8/H$8</f>
        <v>1</v>
      </c>
      <c r="L8" s="81"/>
    </row>
    <row r="9" spans="1:12" x14ac:dyDescent="0.25">
      <c r="A9" s="1" t="s">
        <v>101</v>
      </c>
      <c r="B9" s="159" t="s">
        <v>102</v>
      </c>
      <c r="C9" s="160">
        <v>441416</v>
      </c>
      <c r="D9" s="160">
        <v>536392</v>
      </c>
      <c r="E9" s="160">
        <v>530629</v>
      </c>
      <c r="F9" s="160">
        <v>503554</v>
      </c>
      <c r="G9" s="160">
        <v>515075</v>
      </c>
      <c r="H9" s="160">
        <v>500699</v>
      </c>
      <c r="I9" s="161">
        <f>IFERROR(H9/G9-1,"-")</f>
        <v>-2.791049847109639E-2</v>
      </c>
      <c r="J9" s="160">
        <f t="shared" ref="J9:J19" si="0">H9-G9</f>
        <v>-14376</v>
      </c>
      <c r="K9" s="161">
        <f>H9/H$8</f>
        <v>0.1613465487172811</v>
      </c>
      <c r="L9" s="81"/>
    </row>
    <row r="10" spans="1:12" x14ac:dyDescent="0.25">
      <c r="A10" s="162" t="s">
        <v>108</v>
      </c>
      <c r="B10" s="163" t="s">
        <v>108</v>
      </c>
      <c r="C10" s="164">
        <v>151642</v>
      </c>
      <c r="D10" s="164">
        <v>184376</v>
      </c>
      <c r="E10" s="164">
        <v>183836</v>
      </c>
      <c r="F10" s="164">
        <v>172794</v>
      </c>
      <c r="G10" s="164">
        <v>156505</v>
      </c>
      <c r="H10" s="164">
        <v>168413</v>
      </c>
      <c r="I10" s="165">
        <f>IFERROR(H10/G10-1,"-")</f>
        <v>7.6087025973611055E-2</v>
      </c>
      <c r="J10" s="164">
        <f t="shared" si="0"/>
        <v>11908</v>
      </c>
      <c r="K10" s="165">
        <f>H10/H$8</f>
        <v>5.4269843377205591E-2</v>
      </c>
      <c r="L10" s="81"/>
    </row>
    <row r="11" spans="1:12" x14ac:dyDescent="0.25">
      <c r="A11" s="162" t="s">
        <v>105</v>
      </c>
      <c r="B11" s="163" t="s">
        <v>105</v>
      </c>
      <c r="C11" s="164">
        <v>289774</v>
      </c>
      <c r="D11" s="164">
        <v>352016</v>
      </c>
      <c r="E11" s="164">
        <v>346793</v>
      </c>
      <c r="F11" s="164">
        <v>330760</v>
      </c>
      <c r="G11" s="164">
        <v>358570</v>
      </c>
      <c r="H11" s="164">
        <v>332286</v>
      </c>
      <c r="I11" s="165">
        <f>IFERROR(H11/G11-1,"-")</f>
        <v>-7.3302284072844892E-2</v>
      </c>
      <c r="J11" s="164">
        <f t="shared" si="0"/>
        <v>-26284</v>
      </c>
      <c r="K11" s="165">
        <f>H11/H$8</f>
        <v>0.1070767053400755</v>
      </c>
      <c r="L11" s="81"/>
    </row>
    <row r="12" spans="1:12" x14ac:dyDescent="0.25">
      <c r="A12" s="1"/>
      <c r="B12" s="159" t="s">
        <v>112</v>
      </c>
      <c r="C12" s="160">
        <v>802126</v>
      </c>
      <c r="D12" s="160">
        <v>2429630</v>
      </c>
      <c r="E12" s="160">
        <v>2525724</v>
      </c>
      <c r="F12" s="160">
        <v>2691245</v>
      </c>
      <c r="G12" s="160">
        <v>2658203</v>
      </c>
      <c r="H12" s="160">
        <v>2602553</v>
      </c>
      <c r="I12" s="161">
        <f>IFERROR(H12/G12-1,"-")</f>
        <v>-2.0935195694234077E-2</v>
      </c>
      <c r="J12" s="160">
        <f t="shared" si="0"/>
        <v>-55650</v>
      </c>
      <c r="K12" s="161">
        <f>H12/H$8</f>
        <v>0.83865345128271895</v>
      </c>
      <c r="L12" s="81"/>
    </row>
    <row r="13" spans="1:12" s="57" customFormat="1" x14ac:dyDescent="0.25">
      <c r="A13" s="162"/>
      <c r="B13" s="163" t="s">
        <v>115</v>
      </c>
      <c r="C13" s="164">
        <v>115051</v>
      </c>
      <c r="D13" s="164">
        <v>1256894</v>
      </c>
      <c r="E13" s="164">
        <v>1298660</v>
      </c>
      <c r="F13" s="164">
        <v>1393862</v>
      </c>
      <c r="G13" s="164">
        <v>1356525</v>
      </c>
      <c r="H13" s="164">
        <v>1358813</v>
      </c>
      <c r="I13" s="165">
        <f t="shared" ref="I13:I20" si="1">IFERROR(H13/G13-1,"-")</f>
        <v>1.6866626121891937E-3</v>
      </c>
      <c r="J13" s="164">
        <f t="shared" si="0"/>
        <v>2288</v>
      </c>
      <c r="K13" s="165">
        <f t="shared" ref="K13:K20" si="2">H13/H$8</f>
        <v>0.43786743712724585</v>
      </c>
      <c r="L13" s="166"/>
    </row>
    <row r="14" spans="1:12" s="57" customFormat="1" x14ac:dyDescent="0.25">
      <c r="A14" s="162"/>
      <c r="B14" s="163" t="s">
        <v>118</v>
      </c>
      <c r="C14" s="164">
        <v>149984</v>
      </c>
      <c r="D14" s="164">
        <v>228057</v>
      </c>
      <c r="E14" s="164">
        <v>236654</v>
      </c>
      <c r="F14" s="164">
        <v>233276</v>
      </c>
      <c r="G14" s="164">
        <v>219007</v>
      </c>
      <c r="H14" s="164">
        <v>198156</v>
      </c>
      <c r="I14" s="165">
        <f t="shared" si="1"/>
        <v>-9.5207002515901307E-2</v>
      </c>
      <c r="J14" s="164">
        <f t="shared" si="0"/>
        <v>-20851</v>
      </c>
      <c r="K14" s="165">
        <f t="shared" si="2"/>
        <v>6.3854305096717898E-2</v>
      </c>
      <c r="L14" s="166"/>
    </row>
    <row r="15" spans="1:12" x14ac:dyDescent="0.25">
      <c r="A15" s="162"/>
      <c r="B15" s="163" t="s">
        <v>121</v>
      </c>
      <c r="C15" s="164">
        <v>78936</v>
      </c>
      <c r="D15" s="164">
        <v>103512</v>
      </c>
      <c r="E15" s="164">
        <v>109718</v>
      </c>
      <c r="F15" s="164">
        <v>127553</v>
      </c>
      <c r="G15" s="164">
        <v>138432</v>
      </c>
      <c r="H15" s="164">
        <v>150342</v>
      </c>
      <c r="I15" s="165">
        <f t="shared" si="1"/>
        <v>8.6035020804438256E-2</v>
      </c>
      <c r="J15" s="164">
        <f t="shared" si="0"/>
        <v>11910</v>
      </c>
      <c r="K15" s="165">
        <f t="shared" si="2"/>
        <v>4.8446597311465521E-2</v>
      </c>
      <c r="L15" s="81"/>
    </row>
    <row r="16" spans="1:12" x14ac:dyDescent="0.25">
      <c r="A16" s="162"/>
      <c r="B16" s="163" t="s">
        <v>128</v>
      </c>
      <c r="C16" s="164">
        <v>63536</v>
      </c>
      <c r="D16" s="164">
        <v>117669</v>
      </c>
      <c r="E16" s="164">
        <v>123008</v>
      </c>
      <c r="F16" s="164">
        <v>126316</v>
      </c>
      <c r="G16" s="164">
        <v>126674</v>
      </c>
      <c r="H16" s="164">
        <v>119222</v>
      </c>
      <c r="I16" s="165">
        <f t="shared" si="1"/>
        <v>-5.8828173105767601E-2</v>
      </c>
      <c r="J16" s="164">
        <f t="shared" si="0"/>
        <v>-7452</v>
      </c>
      <c r="K16" s="165">
        <f t="shared" si="2"/>
        <v>3.8418407528618366E-2</v>
      </c>
      <c r="L16" s="81"/>
    </row>
    <row r="17" spans="1:12" x14ac:dyDescent="0.25">
      <c r="A17" s="162"/>
      <c r="B17" s="163" t="s">
        <v>124</v>
      </c>
      <c r="C17" s="164">
        <v>73800</v>
      </c>
      <c r="D17" s="164">
        <v>112629</v>
      </c>
      <c r="E17" s="164">
        <v>122368</v>
      </c>
      <c r="F17" s="164">
        <v>117371</v>
      </c>
      <c r="G17" s="164">
        <v>101409</v>
      </c>
      <c r="H17" s="164">
        <v>108304</v>
      </c>
      <c r="I17" s="165">
        <f t="shared" si="1"/>
        <v>6.7991992821150093E-2</v>
      </c>
      <c r="J17" s="164">
        <f t="shared" si="0"/>
        <v>6895</v>
      </c>
      <c r="K17" s="165">
        <f t="shared" si="2"/>
        <v>3.4900162796962668E-2</v>
      </c>
      <c r="L17" s="81"/>
    </row>
    <row r="18" spans="1:12" x14ac:dyDescent="0.25">
      <c r="A18" s="162"/>
      <c r="B18" s="163" t="s">
        <v>133</v>
      </c>
      <c r="C18" s="164">
        <v>9150</v>
      </c>
      <c r="D18" s="164">
        <v>16868</v>
      </c>
      <c r="E18" s="164">
        <v>11545</v>
      </c>
      <c r="F18" s="164">
        <v>15597</v>
      </c>
      <c r="G18" s="164">
        <v>15849</v>
      </c>
      <c r="H18" s="164">
        <v>11189</v>
      </c>
      <c r="I18" s="165">
        <f t="shared" si="1"/>
        <v>-0.29402485961259384</v>
      </c>
      <c r="J18" s="164">
        <f t="shared" si="0"/>
        <v>-4660</v>
      </c>
      <c r="K18" s="165">
        <f t="shared" si="2"/>
        <v>3.6055724768726486E-3</v>
      </c>
      <c r="L18" s="81"/>
    </row>
    <row r="19" spans="1:12" x14ac:dyDescent="0.25">
      <c r="A19" s="162" t="s">
        <v>149</v>
      </c>
      <c r="B19" s="163" t="s">
        <v>136</v>
      </c>
      <c r="C19" s="164">
        <v>1440</v>
      </c>
      <c r="D19" s="164">
        <v>4797</v>
      </c>
      <c r="E19" s="164">
        <v>7606</v>
      </c>
      <c r="F19" s="164">
        <v>3457</v>
      </c>
      <c r="G19" s="164">
        <v>3414</v>
      </c>
      <c r="H19" s="164">
        <v>3328</v>
      </c>
      <c r="I19" s="165">
        <f t="shared" si="1"/>
        <v>-2.5190392501464598E-2</v>
      </c>
      <c r="J19" s="164">
        <f t="shared" si="0"/>
        <v>-86</v>
      </c>
      <c r="K19" s="165">
        <f t="shared" si="2"/>
        <v>1.0724233803764568E-3</v>
      </c>
      <c r="L19" s="81"/>
    </row>
    <row r="20" spans="1:12" x14ac:dyDescent="0.25">
      <c r="A20" s="162" t="s">
        <v>150</v>
      </c>
      <c r="B20" s="168" t="s">
        <v>150</v>
      </c>
      <c r="C20" s="169">
        <f t="shared" ref="C20:H20" si="3">C12-SUM(C13:C19)</f>
        <v>310229</v>
      </c>
      <c r="D20" s="169">
        <f t="shared" si="3"/>
        <v>589204</v>
      </c>
      <c r="E20" s="169">
        <f t="shared" si="3"/>
        <v>616165</v>
      </c>
      <c r="F20" s="169">
        <f t="shared" si="3"/>
        <v>673813</v>
      </c>
      <c r="G20" s="169">
        <f t="shared" si="3"/>
        <v>696893</v>
      </c>
      <c r="H20" s="169">
        <f t="shared" si="3"/>
        <v>653199</v>
      </c>
      <c r="I20" s="170">
        <f t="shared" si="1"/>
        <v>-6.2698290842353122E-2</v>
      </c>
      <c r="J20" s="169">
        <f>H20-G20</f>
        <v>-43694</v>
      </c>
      <c r="K20" s="170">
        <f t="shared" si="2"/>
        <v>0.21048854556445948</v>
      </c>
      <c r="L20" s="81"/>
    </row>
    <row r="21" spans="1:12" s="146" customFormat="1" x14ac:dyDescent="0.25">
      <c r="A21" s="162"/>
      <c r="B21" s="155" t="s">
        <v>46</v>
      </c>
      <c r="C21" s="153"/>
      <c r="D21" s="153"/>
      <c r="E21" s="153"/>
      <c r="F21" s="153"/>
      <c r="G21" s="153"/>
      <c r="H21" s="153"/>
      <c r="I21" s="153"/>
      <c r="J21" s="153"/>
      <c r="K21" s="153"/>
    </row>
    <row r="22" spans="1:12" x14ac:dyDescent="0.25">
      <c r="A22" s="162"/>
      <c r="B22" s="156" t="s">
        <v>73</v>
      </c>
      <c r="C22" s="176">
        <v>553215</v>
      </c>
      <c r="D22" s="176">
        <v>1179956</v>
      </c>
      <c r="E22" s="176">
        <v>1208215</v>
      </c>
      <c r="F22" s="176">
        <v>1224963</v>
      </c>
      <c r="G22" s="176">
        <v>1158197</v>
      </c>
      <c r="H22" s="176">
        <v>1193560</v>
      </c>
      <c r="I22" s="177">
        <f>IFERROR(H22/G22-1,"-")</f>
        <v>3.0532802278023574E-2</v>
      </c>
      <c r="J22" s="176">
        <f>H22-G22</f>
        <v>35363</v>
      </c>
      <c r="K22" s="177">
        <f>H22/H$8</f>
        <v>0.3846158803732343</v>
      </c>
      <c r="L22" s="81"/>
    </row>
    <row r="23" spans="1:12" x14ac:dyDescent="0.25">
      <c r="A23" s="162" t="s">
        <v>101</v>
      </c>
      <c r="B23" s="159" t="s">
        <v>102</v>
      </c>
      <c r="C23" s="160">
        <v>162890</v>
      </c>
      <c r="D23" s="160">
        <v>131999</v>
      </c>
      <c r="E23" s="160">
        <v>110967</v>
      </c>
      <c r="F23" s="160">
        <v>93879</v>
      </c>
      <c r="G23" s="160">
        <v>82826</v>
      </c>
      <c r="H23" s="160">
        <v>95627</v>
      </c>
      <c r="I23" s="161">
        <f>IFERROR(H23/G23-1,"-")</f>
        <v>0.15455291816579342</v>
      </c>
      <c r="J23" s="160">
        <f t="shared" ref="J23:J33" si="4">H23-G23</f>
        <v>12801</v>
      </c>
      <c r="K23" s="161">
        <f>H23/H$8</f>
        <v>3.0815093327902471E-2</v>
      </c>
      <c r="L23" s="81"/>
    </row>
    <row r="24" spans="1:12" x14ac:dyDescent="0.25">
      <c r="A24" s="162" t="s">
        <v>108</v>
      </c>
      <c r="B24" s="163" t="s">
        <v>108</v>
      </c>
      <c r="C24" s="164">
        <v>55499</v>
      </c>
      <c r="D24" s="164">
        <v>36761</v>
      </c>
      <c r="E24" s="164">
        <v>34225</v>
      </c>
      <c r="F24" s="164">
        <v>29019</v>
      </c>
      <c r="G24" s="164">
        <v>29685</v>
      </c>
      <c r="H24" s="164">
        <v>30520</v>
      </c>
      <c r="I24" s="165">
        <f>IFERROR(H24/G24-1,"-")</f>
        <v>2.812868452080175E-2</v>
      </c>
      <c r="J24" s="164">
        <f t="shared" si="4"/>
        <v>835</v>
      </c>
      <c r="K24" s="165">
        <f>H24/H$8</f>
        <v>9.8348442214812072E-3</v>
      </c>
      <c r="L24" s="81"/>
    </row>
    <row r="25" spans="1:12" x14ac:dyDescent="0.25">
      <c r="A25" s="162" t="s">
        <v>105</v>
      </c>
      <c r="B25" s="163" t="s">
        <v>105</v>
      </c>
      <c r="C25" s="164">
        <v>107391</v>
      </c>
      <c r="D25" s="164">
        <v>95238</v>
      </c>
      <c r="E25" s="164">
        <v>76742</v>
      </c>
      <c r="F25" s="164">
        <v>64860</v>
      </c>
      <c r="G25" s="164">
        <v>53141</v>
      </c>
      <c r="H25" s="164">
        <v>65107</v>
      </c>
      <c r="I25" s="165">
        <f>IFERROR(H25/G25-1,"-")</f>
        <v>0.22517453566925716</v>
      </c>
      <c r="J25" s="164">
        <f t="shared" si="4"/>
        <v>11966</v>
      </c>
      <c r="K25" s="165">
        <f>H25/H$8</f>
        <v>2.0980249106421264E-2</v>
      </c>
      <c r="L25" s="81"/>
    </row>
    <row r="26" spans="1:12" x14ac:dyDescent="0.25">
      <c r="A26" s="162"/>
      <c r="B26" s="159" t="s">
        <v>112</v>
      </c>
      <c r="C26" s="160">
        <v>390325</v>
      </c>
      <c r="D26" s="160">
        <v>1047957</v>
      </c>
      <c r="E26" s="160">
        <v>1097248</v>
      </c>
      <c r="F26" s="160">
        <v>1131084</v>
      </c>
      <c r="G26" s="160">
        <v>1075371</v>
      </c>
      <c r="H26" s="160">
        <v>1097933</v>
      </c>
      <c r="I26" s="161">
        <f>IFERROR(H26/G26-1,"-")</f>
        <v>2.0980666207290222E-2</v>
      </c>
      <c r="J26" s="160">
        <f t="shared" si="4"/>
        <v>22562</v>
      </c>
      <c r="K26" s="161">
        <f>H26/H$8</f>
        <v>0.3538007870453318</v>
      </c>
      <c r="L26" s="81"/>
    </row>
    <row r="27" spans="1:12" s="57" customFormat="1" x14ac:dyDescent="0.25">
      <c r="A27" s="162"/>
      <c r="B27" s="163" t="s">
        <v>115</v>
      </c>
      <c r="C27" s="164">
        <v>61248</v>
      </c>
      <c r="D27" s="164">
        <v>562174</v>
      </c>
      <c r="E27" s="164">
        <v>582686</v>
      </c>
      <c r="F27" s="164">
        <v>611230</v>
      </c>
      <c r="G27" s="164">
        <v>570296</v>
      </c>
      <c r="H27" s="164">
        <v>603838</v>
      </c>
      <c r="I27" s="165">
        <f t="shared" ref="I27:I34" si="5">IFERROR(H27/G27-1,"-")</f>
        <v>5.8815071471656877E-2</v>
      </c>
      <c r="J27" s="164">
        <f t="shared" si="4"/>
        <v>33542</v>
      </c>
      <c r="K27" s="165">
        <f t="shared" ref="K27:K34" si="6">H27/H$8</f>
        <v>0.19458232847348522</v>
      </c>
      <c r="L27" s="166"/>
    </row>
    <row r="28" spans="1:12" s="57" customFormat="1" x14ac:dyDescent="0.25">
      <c r="A28" s="162"/>
      <c r="B28" s="163" t="s">
        <v>118</v>
      </c>
      <c r="C28" s="164">
        <v>88196</v>
      </c>
      <c r="D28" s="164">
        <v>113982</v>
      </c>
      <c r="E28" s="164">
        <v>116882</v>
      </c>
      <c r="F28" s="164">
        <v>107901</v>
      </c>
      <c r="G28" s="164">
        <v>100839</v>
      </c>
      <c r="H28" s="164">
        <v>89417</v>
      </c>
      <c r="I28" s="165">
        <f t="shared" si="5"/>
        <v>-0.11326966748976086</v>
      </c>
      <c r="J28" s="164">
        <f t="shared" si="4"/>
        <v>-11422</v>
      </c>
      <c r="K28" s="165">
        <f t="shared" si="6"/>
        <v>2.8813966767764914E-2</v>
      </c>
      <c r="L28" s="166"/>
    </row>
    <row r="29" spans="1:12" x14ac:dyDescent="0.25">
      <c r="A29" s="162"/>
      <c r="B29" s="163" t="s">
        <v>121</v>
      </c>
      <c r="C29" s="164">
        <v>31618</v>
      </c>
      <c r="D29" s="164">
        <v>36769</v>
      </c>
      <c r="E29" s="164">
        <v>42633</v>
      </c>
      <c r="F29" s="164">
        <v>32656</v>
      </c>
      <c r="G29" s="164">
        <v>32197</v>
      </c>
      <c r="H29" s="164">
        <v>40535</v>
      </c>
      <c r="I29" s="165">
        <f t="shared" si="5"/>
        <v>0.25896822685343346</v>
      </c>
      <c r="J29" s="164">
        <f t="shared" si="4"/>
        <v>8338</v>
      </c>
      <c r="K29" s="165">
        <f t="shared" si="6"/>
        <v>1.3062103883281152E-2</v>
      </c>
      <c r="L29" s="81"/>
    </row>
    <row r="30" spans="1:12" x14ac:dyDescent="0.25">
      <c r="A30" s="162"/>
      <c r="B30" s="163" t="s">
        <v>128</v>
      </c>
      <c r="C30" s="164">
        <v>29486</v>
      </c>
      <c r="D30" s="164">
        <v>50032</v>
      </c>
      <c r="E30" s="164">
        <v>50306</v>
      </c>
      <c r="F30" s="164">
        <v>51873</v>
      </c>
      <c r="G30" s="164">
        <v>52681</v>
      </c>
      <c r="H30" s="164">
        <v>52553</v>
      </c>
      <c r="I30" s="165">
        <f t="shared" si="5"/>
        <v>-2.4297184943338213E-3</v>
      </c>
      <c r="J30" s="164">
        <f t="shared" si="4"/>
        <v>-128</v>
      </c>
      <c r="K30" s="165">
        <f t="shared" si="6"/>
        <v>1.6934815477441086E-2</v>
      </c>
      <c r="L30" s="81"/>
    </row>
    <row r="31" spans="1:12" x14ac:dyDescent="0.25">
      <c r="A31" s="162"/>
      <c r="B31" s="163" t="s">
        <v>124</v>
      </c>
      <c r="C31" s="164">
        <v>44033</v>
      </c>
      <c r="D31" s="164">
        <v>61424</v>
      </c>
      <c r="E31" s="164">
        <v>62303</v>
      </c>
      <c r="F31" s="164">
        <v>61489</v>
      </c>
      <c r="G31" s="164">
        <v>51214</v>
      </c>
      <c r="H31" s="164">
        <v>59537</v>
      </c>
      <c r="I31" s="165">
        <f t="shared" si="5"/>
        <v>0.16251415628539068</v>
      </c>
      <c r="J31" s="164">
        <f t="shared" si="4"/>
        <v>8323</v>
      </c>
      <c r="K31" s="165">
        <f t="shared" si="6"/>
        <v>1.9185357811740716E-2</v>
      </c>
      <c r="L31" s="81"/>
    </row>
    <row r="32" spans="1:12" x14ac:dyDescent="0.25">
      <c r="A32" s="162"/>
      <c r="B32" s="163" t="s">
        <v>133</v>
      </c>
      <c r="C32" s="164">
        <v>1340</v>
      </c>
      <c r="D32" s="164">
        <v>5501</v>
      </c>
      <c r="E32" s="164">
        <v>4492</v>
      </c>
      <c r="F32" s="164">
        <v>8513</v>
      </c>
      <c r="G32" s="164">
        <v>6194</v>
      </c>
      <c r="H32" s="164">
        <v>5324</v>
      </c>
      <c r="I32" s="165">
        <f t="shared" si="5"/>
        <v>-0.14045850823377459</v>
      </c>
      <c r="J32" s="164">
        <f t="shared" si="4"/>
        <v>-870</v>
      </c>
      <c r="K32" s="165">
        <f t="shared" si="6"/>
        <v>1.7156196145205094E-3</v>
      </c>
      <c r="L32" s="81"/>
    </row>
    <row r="33" spans="1:12" x14ac:dyDescent="0.25">
      <c r="A33" s="162" t="s">
        <v>149</v>
      </c>
      <c r="B33" s="163" t="s">
        <v>136</v>
      </c>
      <c r="C33" s="164">
        <v>602</v>
      </c>
      <c r="D33" s="164">
        <v>2205</v>
      </c>
      <c r="E33" s="164">
        <v>2958</v>
      </c>
      <c r="F33" s="164">
        <v>1521</v>
      </c>
      <c r="G33" s="164">
        <v>1030</v>
      </c>
      <c r="H33" s="164">
        <v>1403</v>
      </c>
      <c r="I33" s="165">
        <f t="shared" si="5"/>
        <v>0.36213592233009706</v>
      </c>
      <c r="J33" s="164">
        <f t="shared" si="4"/>
        <v>373</v>
      </c>
      <c r="K33" s="165">
        <f t="shared" si="6"/>
        <v>4.5210637099404107E-4</v>
      </c>
      <c r="L33" s="81"/>
    </row>
    <row r="34" spans="1:12" x14ac:dyDescent="0.25">
      <c r="A34" s="162" t="s">
        <v>150</v>
      </c>
      <c r="B34" s="168" t="s">
        <v>150</v>
      </c>
      <c r="C34" s="169">
        <f t="shared" ref="C34:H34" si="7">C26-SUM(C27:C33)</f>
        <v>133802</v>
      </c>
      <c r="D34" s="169">
        <f t="shared" si="7"/>
        <v>215870</v>
      </c>
      <c r="E34" s="169">
        <f t="shared" si="7"/>
        <v>234988</v>
      </c>
      <c r="F34" s="169">
        <f t="shared" si="7"/>
        <v>255901</v>
      </c>
      <c r="G34" s="169">
        <f t="shared" si="7"/>
        <v>260920</v>
      </c>
      <c r="H34" s="169">
        <f t="shared" si="7"/>
        <v>245326</v>
      </c>
      <c r="I34" s="170">
        <f t="shared" si="5"/>
        <v>-5.9765445347232826E-2</v>
      </c>
      <c r="J34" s="169">
        <f>H34-G34</f>
        <v>-15594</v>
      </c>
      <c r="K34" s="170">
        <f t="shared" si="6"/>
        <v>7.9054488646104148E-2</v>
      </c>
      <c r="L34" s="81"/>
    </row>
    <row r="35" spans="1:12" s="146" customFormat="1" x14ac:dyDescent="0.25">
      <c r="A35" s="162"/>
      <c r="B35" s="155" t="s">
        <v>47</v>
      </c>
      <c r="C35" s="153"/>
      <c r="D35" s="153"/>
      <c r="E35" s="153"/>
      <c r="F35" s="153"/>
      <c r="G35" s="153"/>
      <c r="H35" s="153"/>
      <c r="I35" s="153"/>
      <c r="J35" s="153"/>
      <c r="K35" s="153"/>
    </row>
    <row r="36" spans="1:12" x14ac:dyDescent="0.25">
      <c r="A36" s="162"/>
      <c r="B36" s="156" t="s">
        <v>73</v>
      </c>
      <c r="C36" s="176">
        <v>254312</v>
      </c>
      <c r="D36" s="176">
        <v>858220</v>
      </c>
      <c r="E36" s="176">
        <v>872319</v>
      </c>
      <c r="F36" s="176">
        <v>895588</v>
      </c>
      <c r="G36" s="176">
        <v>931484</v>
      </c>
      <c r="H36" s="176">
        <v>902701</v>
      </c>
      <c r="I36" s="177">
        <f>IFERROR(H36/G36-1,"-")</f>
        <v>-3.0900155021449605E-2</v>
      </c>
      <c r="J36" s="176">
        <f>H36-G36</f>
        <v>-28783</v>
      </c>
      <c r="K36" s="177">
        <f>H36/H$8</f>
        <v>0.29088871931767063</v>
      </c>
      <c r="L36" s="81"/>
    </row>
    <row r="37" spans="1:12" x14ac:dyDescent="0.25">
      <c r="A37" s="162" t="s">
        <v>101</v>
      </c>
      <c r="B37" s="159" t="s">
        <v>102</v>
      </c>
      <c r="C37" s="160">
        <v>62543</v>
      </c>
      <c r="D37" s="160">
        <v>72292</v>
      </c>
      <c r="E37" s="160">
        <v>67410</v>
      </c>
      <c r="F37" s="160">
        <v>72329</v>
      </c>
      <c r="G37" s="160">
        <v>73349</v>
      </c>
      <c r="H37" s="160">
        <v>83072</v>
      </c>
      <c r="I37" s="161">
        <f>IFERROR(H37/G37-1,"-")</f>
        <v>0.1325580444177834</v>
      </c>
      <c r="J37" s="160">
        <f t="shared" ref="J37:J47" si="8">H37-G37</f>
        <v>9723</v>
      </c>
      <c r="K37" s="161">
        <f>H37/H$8</f>
        <v>2.6769337456320014E-2</v>
      </c>
      <c r="L37" s="81"/>
    </row>
    <row r="38" spans="1:12" x14ac:dyDescent="0.25">
      <c r="A38" s="162" t="s">
        <v>108</v>
      </c>
      <c r="B38" s="163" t="s">
        <v>108</v>
      </c>
      <c r="C38" s="164">
        <v>27762</v>
      </c>
      <c r="D38" s="164">
        <v>26550</v>
      </c>
      <c r="E38" s="164">
        <v>31376</v>
      </c>
      <c r="F38" s="164">
        <v>32875</v>
      </c>
      <c r="G38" s="164">
        <v>30624</v>
      </c>
      <c r="H38" s="164">
        <v>37372</v>
      </c>
      <c r="I38" s="165">
        <f>IFERROR(H38/G38-1,"-")</f>
        <v>0.22035005224660398</v>
      </c>
      <c r="J38" s="164">
        <f t="shared" si="8"/>
        <v>6748</v>
      </c>
      <c r="K38" s="165">
        <f>H38/H$8</f>
        <v>1.204285053228033E-2</v>
      </c>
      <c r="L38" s="81"/>
    </row>
    <row r="39" spans="1:12" x14ac:dyDescent="0.25">
      <c r="A39" s="162" t="s">
        <v>105</v>
      </c>
      <c r="B39" s="163" t="s">
        <v>105</v>
      </c>
      <c r="C39" s="164">
        <v>34781</v>
      </c>
      <c r="D39" s="164">
        <v>45742</v>
      </c>
      <c r="E39" s="164">
        <v>36034</v>
      </c>
      <c r="F39" s="164">
        <v>39454</v>
      </c>
      <c r="G39" s="164">
        <v>42725</v>
      </c>
      <c r="H39" s="164">
        <v>45700</v>
      </c>
      <c r="I39" s="165">
        <f>IFERROR(H39/G39-1,"-")</f>
        <v>6.9631363370391997E-2</v>
      </c>
      <c r="J39" s="164">
        <f t="shared" si="8"/>
        <v>2975</v>
      </c>
      <c r="K39" s="165">
        <f>H39/H$8</f>
        <v>1.4726486924039685E-2</v>
      </c>
      <c r="L39" s="81"/>
    </row>
    <row r="40" spans="1:12" x14ac:dyDescent="0.25">
      <c r="A40" s="162"/>
      <c r="B40" s="159" t="s">
        <v>112</v>
      </c>
      <c r="C40" s="160">
        <v>191769</v>
      </c>
      <c r="D40" s="160">
        <v>785928</v>
      </c>
      <c r="E40" s="160">
        <v>804909</v>
      </c>
      <c r="F40" s="160">
        <v>823259</v>
      </c>
      <c r="G40" s="160">
        <v>858135</v>
      </c>
      <c r="H40" s="160">
        <v>819629</v>
      </c>
      <c r="I40" s="161">
        <f>IFERROR(H40/G40-1,"-")</f>
        <v>-4.4871727641921155E-2</v>
      </c>
      <c r="J40" s="160">
        <f t="shared" si="8"/>
        <v>-38506</v>
      </c>
      <c r="K40" s="161">
        <f>H40/H$8</f>
        <v>0.26411938186135059</v>
      </c>
      <c r="L40" s="81"/>
    </row>
    <row r="41" spans="1:12" s="57" customFormat="1" x14ac:dyDescent="0.25">
      <c r="A41" s="162"/>
      <c r="B41" s="163" t="s">
        <v>115</v>
      </c>
      <c r="C41" s="164">
        <v>31484</v>
      </c>
      <c r="D41" s="164">
        <v>453306</v>
      </c>
      <c r="E41" s="164">
        <v>480710</v>
      </c>
      <c r="F41" s="164">
        <v>490081</v>
      </c>
      <c r="G41" s="164">
        <v>493997</v>
      </c>
      <c r="H41" s="164">
        <v>474684</v>
      </c>
      <c r="I41" s="165">
        <f t="shared" ref="I41:I48" si="9">IFERROR(H41/G41-1,"-")</f>
        <v>-3.9095379121735552E-2</v>
      </c>
      <c r="J41" s="164">
        <f t="shared" si="8"/>
        <v>-19313</v>
      </c>
      <c r="K41" s="165">
        <f t="shared" ref="K41:K48" si="10">H41/H$8</f>
        <v>0.15296340741905587</v>
      </c>
      <c r="L41" s="166"/>
    </row>
    <row r="42" spans="1:12" s="57" customFormat="1" x14ac:dyDescent="0.25">
      <c r="A42" s="162"/>
      <c r="B42" s="163" t="s">
        <v>118</v>
      </c>
      <c r="C42" s="164">
        <v>11927</v>
      </c>
      <c r="D42" s="164">
        <v>25892</v>
      </c>
      <c r="E42" s="164">
        <v>20984</v>
      </c>
      <c r="F42" s="164">
        <v>21458</v>
      </c>
      <c r="G42" s="164">
        <v>24820</v>
      </c>
      <c r="H42" s="164">
        <v>23965</v>
      </c>
      <c r="I42" s="165">
        <f t="shared" si="9"/>
        <v>-3.4448025785656755E-2</v>
      </c>
      <c r="J42" s="164">
        <f t="shared" si="8"/>
        <v>-855</v>
      </c>
      <c r="K42" s="165">
        <f t="shared" si="10"/>
        <v>7.722543963558229E-3</v>
      </c>
      <c r="L42" s="166"/>
    </row>
    <row r="43" spans="1:12" x14ac:dyDescent="0.25">
      <c r="A43" s="162"/>
      <c r="B43" s="163" t="s">
        <v>121</v>
      </c>
      <c r="C43" s="164">
        <v>14469</v>
      </c>
      <c r="D43" s="164">
        <v>14696</v>
      </c>
      <c r="E43" s="164">
        <v>16776</v>
      </c>
      <c r="F43" s="164">
        <v>21516</v>
      </c>
      <c r="G43" s="164">
        <v>22140</v>
      </c>
      <c r="H43" s="164">
        <v>29051</v>
      </c>
      <c r="I43" s="165">
        <f t="shared" si="9"/>
        <v>0.31214995483288166</v>
      </c>
      <c r="J43" s="164">
        <f t="shared" si="8"/>
        <v>6911</v>
      </c>
      <c r="K43" s="165">
        <f t="shared" si="10"/>
        <v>9.3614698387369123E-3</v>
      </c>
      <c r="L43" s="81"/>
    </row>
    <row r="44" spans="1:12" x14ac:dyDescent="0.25">
      <c r="A44" s="162"/>
      <c r="B44" s="163" t="s">
        <v>128</v>
      </c>
      <c r="C44" s="164">
        <v>24677</v>
      </c>
      <c r="D44" s="164">
        <v>47180</v>
      </c>
      <c r="E44" s="164">
        <v>46475</v>
      </c>
      <c r="F44" s="164">
        <v>44935</v>
      </c>
      <c r="G44" s="164">
        <v>45115</v>
      </c>
      <c r="H44" s="164">
        <v>39924</v>
      </c>
      <c r="I44" s="165">
        <f t="shared" si="9"/>
        <v>-0.11506150947578409</v>
      </c>
      <c r="J44" s="164">
        <f t="shared" si="8"/>
        <v>-5191</v>
      </c>
      <c r="K44" s="165">
        <f t="shared" si="10"/>
        <v>1.2865213653290162E-2</v>
      </c>
      <c r="L44" s="81"/>
    </row>
    <row r="45" spans="1:12" x14ac:dyDescent="0.25">
      <c r="A45" s="162"/>
      <c r="B45" s="163" t="s">
        <v>124</v>
      </c>
      <c r="C45" s="164">
        <v>17267</v>
      </c>
      <c r="D45" s="164">
        <v>30251</v>
      </c>
      <c r="E45" s="164">
        <v>33458</v>
      </c>
      <c r="F45" s="164">
        <v>32743</v>
      </c>
      <c r="G45" s="164">
        <v>30696</v>
      </c>
      <c r="H45" s="164">
        <v>30457</v>
      </c>
      <c r="I45" s="165">
        <f t="shared" si="9"/>
        <v>-7.7860307531926187E-3</v>
      </c>
      <c r="J45" s="164">
        <f t="shared" si="8"/>
        <v>-239</v>
      </c>
      <c r="K45" s="165">
        <f t="shared" si="10"/>
        <v>9.8145429375377825E-3</v>
      </c>
      <c r="L45" s="81"/>
    </row>
    <row r="46" spans="1:12" x14ac:dyDescent="0.25">
      <c r="A46" s="162"/>
      <c r="B46" s="163" t="s">
        <v>133</v>
      </c>
      <c r="C46" s="164">
        <v>6238</v>
      </c>
      <c r="D46" s="164">
        <v>7344</v>
      </c>
      <c r="E46" s="164">
        <v>3898</v>
      </c>
      <c r="F46" s="164">
        <v>4602</v>
      </c>
      <c r="G46" s="164">
        <v>4771</v>
      </c>
      <c r="H46" s="164">
        <v>2555</v>
      </c>
      <c r="I46" s="165">
        <f t="shared" si="9"/>
        <v>-0.46447285684342909</v>
      </c>
      <c r="J46" s="164">
        <f t="shared" si="8"/>
        <v>-2216</v>
      </c>
      <c r="K46" s="165">
        <f t="shared" si="10"/>
        <v>8.2332984881666076E-4</v>
      </c>
      <c r="L46" s="81"/>
    </row>
    <row r="47" spans="1:12" x14ac:dyDescent="0.25">
      <c r="A47" s="162" t="s">
        <v>149</v>
      </c>
      <c r="B47" s="163" t="s">
        <v>136</v>
      </c>
      <c r="C47" s="164">
        <v>473</v>
      </c>
      <c r="D47" s="164">
        <v>1278</v>
      </c>
      <c r="E47" s="164">
        <v>2935</v>
      </c>
      <c r="F47" s="164">
        <v>781</v>
      </c>
      <c r="G47" s="164">
        <v>911</v>
      </c>
      <c r="H47" s="164">
        <v>719</v>
      </c>
      <c r="I47" s="165">
        <f t="shared" si="9"/>
        <v>-0.21075740944017562</v>
      </c>
      <c r="J47" s="164">
        <f t="shared" si="8"/>
        <v>-192</v>
      </c>
      <c r="K47" s="165">
        <f t="shared" si="10"/>
        <v>2.3169243103686069E-4</v>
      </c>
      <c r="L47" s="81"/>
    </row>
    <row r="48" spans="1:12" x14ac:dyDescent="0.25">
      <c r="A48" s="162" t="s">
        <v>150</v>
      </c>
      <c r="B48" s="168" t="s">
        <v>150</v>
      </c>
      <c r="C48" s="169">
        <f t="shared" ref="C48:H48" si="11">C40-SUM(C41:C47)</f>
        <v>85234</v>
      </c>
      <c r="D48" s="169">
        <f t="shared" si="11"/>
        <v>205981</v>
      </c>
      <c r="E48" s="169">
        <f t="shared" si="11"/>
        <v>199673</v>
      </c>
      <c r="F48" s="169">
        <f t="shared" si="11"/>
        <v>207143</v>
      </c>
      <c r="G48" s="169">
        <f t="shared" si="11"/>
        <v>235685</v>
      </c>
      <c r="H48" s="169">
        <f t="shared" si="11"/>
        <v>218274</v>
      </c>
      <c r="I48" s="170">
        <f t="shared" si="9"/>
        <v>-7.3874026773023349E-2</v>
      </c>
      <c r="J48" s="169">
        <f>H48-G48</f>
        <v>-17411</v>
      </c>
      <c r="K48" s="170">
        <f t="shared" si="10"/>
        <v>7.0337181769318122E-2</v>
      </c>
      <c r="L48" s="81"/>
    </row>
    <row r="49" spans="1:12" s="146" customFormat="1" x14ac:dyDescent="0.25">
      <c r="A49" s="162"/>
      <c r="B49" s="155" t="s">
        <v>48</v>
      </c>
      <c r="C49" s="153"/>
      <c r="D49" s="153"/>
      <c r="E49" s="153"/>
      <c r="F49" s="153"/>
      <c r="G49" s="153"/>
      <c r="H49" s="153"/>
      <c r="I49" s="153"/>
      <c r="J49" s="153"/>
      <c r="K49" s="153"/>
    </row>
    <row r="50" spans="1:12" x14ac:dyDescent="0.25">
      <c r="A50" s="162"/>
      <c r="B50" s="156" t="s">
        <v>73</v>
      </c>
      <c r="C50" s="176">
        <v>8689</v>
      </c>
      <c r="D50" s="176">
        <v>11471</v>
      </c>
      <c r="E50" s="176">
        <v>10609</v>
      </c>
      <c r="F50" s="176">
        <v>12513</v>
      </c>
      <c r="G50" s="176">
        <v>13153</v>
      </c>
      <c r="H50" s="176">
        <v>13741</v>
      </c>
      <c r="I50" s="177">
        <f>IFERROR(H50/G50-1,"-")</f>
        <v>4.4704630122405442E-2</v>
      </c>
      <c r="J50" s="176">
        <f>H50-G50</f>
        <v>588</v>
      </c>
      <c r="K50" s="177">
        <f>H50/H$8</f>
        <v>4.4279355978824797E-3</v>
      </c>
      <c r="L50" s="81"/>
    </row>
    <row r="51" spans="1:12" x14ac:dyDescent="0.25">
      <c r="A51" s="162" t="s">
        <v>101</v>
      </c>
      <c r="B51" s="159" t="s">
        <v>102</v>
      </c>
      <c r="C51" s="160">
        <v>2615</v>
      </c>
      <c r="D51" s="160">
        <v>1203</v>
      </c>
      <c r="E51" s="160">
        <v>2739</v>
      </c>
      <c r="F51" s="160">
        <v>2110</v>
      </c>
      <c r="G51" s="160">
        <v>1671</v>
      </c>
      <c r="H51" s="160">
        <v>3115</v>
      </c>
      <c r="I51" s="161">
        <f>IFERROR(H51/G51-1,"-")</f>
        <v>0.86415320167564325</v>
      </c>
      <c r="J51" s="160">
        <f t="shared" ref="J51:J61" si="12">H51-G51</f>
        <v>1444</v>
      </c>
      <c r="K51" s="161">
        <f>H51/H$8</f>
        <v>1.0037857060915454E-3</v>
      </c>
      <c r="L51" s="81"/>
    </row>
    <row r="52" spans="1:12" x14ac:dyDescent="0.25">
      <c r="A52" s="162" t="s">
        <v>108</v>
      </c>
      <c r="B52" s="163" t="s">
        <v>108</v>
      </c>
      <c r="C52" s="164">
        <v>1088</v>
      </c>
      <c r="D52" s="164">
        <v>464</v>
      </c>
      <c r="E52" s="164">
        <v>1882</v>
      </c>
      <c r="F52" s="164">
        <v>1324</v>
      </c>
      <c r="G52" s="164">
        <v>115</v>
      </c>
      <c r="H52" s="164">
        <v>1848</v>
      </c>
      <c r="I52" s="165">
        <f>IFERROR(H52/G52-1,"-")</f>
        <v>15.069565217391304</v>
      </c>
      <c r="J52" s="164">
        <f t="shared" si="12"/>
        <v>1733</v>
      </c>
      <c r="K52" s="165">
        <f>H52/H$8</f>
        <v>5.9550432900711903E-4</v>
      </c>
      <c r="L52" s="81"/>
    </row>
    <row r="53" spans="1:12" x14ac:dyDescent="0.25">
      <c r="A53" s="162" t="s">
        <v>105</v>
      </c>
      <c r="B53" s="163" t="s">
        <v>105</v>
      </c>
      <c r="C53" s="164">
        <v>1527</v>
      </c>
      <c r="D53" s="164">
        <v>739</v>
      </c>
      <c r="E53" s="164">
        <v>857</v>
      </c>
      <c r="F53" s="164">
        <v>786</v>
      </c>
      <c r="G53" s="164">
        <v>1556</v>
      </c>
      <c r="H53" s="164">
        <v>1267</v>
      </c>
      <c r="I53" s="165">
        <f>IFERROR(H53/G53-1,"-")</f>
        <v>-0.18573264781491006</v>
      </c>
      <c r="J53" s="164">
        <f t="shared" si="12"/>
        <v>-289</v>
      </c>
      <c r="K53" s="165">
        <f>H53/H$8</f>
        <v>4.0828137708442627E-4</v>
      </c>
      <c r="L53" s="81"/>
    </row>
    <row r="54" spans="1:12" x14ac:dyDescent="0.25">
      <c r="A54" s="162"/>
      <c r="B54" s="159" t="s">
        <v>112</v>
      </c>
      <c r="C54" s="160">
        <v>6074</v>
      </c>
      <c r="D54" s="160">
        <v>10268</v>
      </c>
      <c r="E54" s="160">
        <v>7870</v>
      </c>
      <c r="F54" s="160">
        <v>10403</v>
      </c>
      <c r="G54" s="160">
        <v>11482</v>
      </c>
      <c r="H54" s="160">
        <v>10626</v>
      </c>
      <c r="I54" s="161">
        <f>IFERROR(H54/G54-1,"-")</f>
        <v>-7.4551471869012342E-2</v>
      </c>
      <c r="J54" s="160">
        <f t="shared" si="12"/>
        <v>-856</v>
      </c>
      <c r="K54" s="161">
        <f>H54/H$8</f>
        <v>3.4241498917909341E-3</v>
      </c>
      <c r="L54" s="81"/>
    </row>
    <row r="55" spans="1:12" s="57" customFormat="1" x14ac:dyDescent="0.25">
      <c r="A55" s="162"/>
      <c r="B55" s="163" t="s">
        <v>115</v>
      </c>
      <c r="C55" s="164">
        <v>304</v>
      </c>
      <c r="D55" s="164">
        <v>5584</v>
      </c>
      <c r="E55" s="164">
        <v>3580</v>
      </c>
      <c r="F55" s="164">
        <v>4630</v>
      </c>
      <c r="G55" s="164">
        <v>5550</v>
      </c>
      <c r="H55" s="164">
        <v>3589</v>
      </c>
      <c r="I55" s="165">
        <f t="shared" ref="I55:I62" si="13">IFERROR(H55/G55-1,"-")</f>
        <v>-0.35333333333333339</v>
      </c>
      <c r="J55" s="164">
        <f t="shared" si="12"/>
        <v>-1961</v>
      </c>
      <c r="K55" s="165">
        <f t="shared" ref="K55:K62" si="14">H55/H$8</f>
        <v>1.156528699570644E-3</v>
      </c>
      <c r="L55" s="166"/>
    </row>
    <row r="56" spans="1:12" s="57" customFormat="1" x14ac:dyDescent="0.25">
      <c r="A56" s="162"/>
      <c r="B56" s="163" t="s">
        <v>118</v>
      </c>
      <c r="C56" s="164">
        <v>2519</v>
      </c>
      <c r="D56" s="164">
        <v>1894</v>
      </c>
      <c r="E56" s="164">
        <v>1550</v>
      </c>
      <c r="F56" s="164">
        <v>2203</v>
      </c>
      <c r="G56" s="164">
        <v>2039</v>
      </c>
      <c r="H56" s="164">
        <v>2173</v>
      </c>
      <c r="I56" s="165">
        <f t="shared" si="13"/>
        <v>6.5718489455615536E-2</v>
      </c>
      <c r="J56" s="164">
        <f t="shared" si="12"/>
        <v>134</v>
      </c>
      <c r="K56" s="165">
        <f t="shared" si="14"/>
        <v>7.0023317474700731E-4</v>
      </c>
      <c r="L56" s="166"/>
    </row>
    <row r="57" spans="1:12" x14ac:dyDescent="0.25">
      <c r="A57" s="162"/>
      <c r="B57" s="163" t="s">
        <v>121</v>
      </c>
      <c r="C57" s="164">
        <v>244</v>
      </c>
      <c r="D57" s="164">
        <v>423</v>
      </c>
      <c r="E57" s="164">
        <v>332</v>
      </c>
      <c r="F57" s="164">
        <v>181</v>
      </c>
      <c r="G57" s="164">
        <v>545</v>
      </c>
      <c r="H57" s="164">
        <v>711</v>
      </c>
      <c r="I57" s="165">
        <f t="shared" si="13"/>
        <v>0.30458715596330266</v>
      </c>
      <c r="J57" s="164">
        <f t="shared" si="12"/>
        <v>166</v>
      </c>
      <c r="K57" s="165">
        <f t="shared" si="14"/>
        <v>2.2911449021864805E-4</v>
      </c>
      <c r="L57" s="81"/>
    </row>
    <row r="58" spans="1:12" x14ac:dyDescent="0.25">
      <c r="A58" s="162"/>
      <c r="B58" s="163" t="s">
        <v>128</v>
      </c>
      <c r="C58" s="164">
        <v>162</v>
      </c>
      <c r="D58" s="164">
        <v>377</v>
      </c>
      <c r="E58" s="164">
        <v>118</v>
      </c>
      <c r="F58" s="164">
        <v>232</v>
      </c>
      <c r="G58" s="164">
        <v>202</v>
      </c>
      <c r="H58" s="164">
        <v>252</v>
      </c>
      <c r="I58" s="165">
        <f t="shared" si="13"/>
        <v>0.24752475247524752</v>
      </c>
      <c r="J58" s="164">
        <f t="shared" si="12"/>
        <v>50</v>
      </c>
      <c r="K58" s="165">
        <f t="shared" si="14"/>
        <v>8.120513577369805E-5</v>
      </c>
      <c r="L58" s="81"/>
    </row>
    <row r="59" spans="1:12" x14ac:dyDescent="0.25">
      <c r="A59" s="162"/>
      <c r="B59" s="163" t="s">
        <v>124</v>
      </c>
      <c r="C59" s="164">
        <v>209</v>
      </c>
      <c r="D59" s="164">
        <v>93</v>
      </c>
      <c r="E59" s="164">
        <v>117</v>
      </c>
      <c r="F59" s="164">
        <v>10</v>
      </c>
      <c r="G59" s="164">
        <v>185</v>
      </c>
      <c r="H59" s="164">
        <v>183</v>
      </c>
      <c r="I59" s="165">
        <f t="shared" si="13"/>
        <v>-1.0810810810810811E-2</v>
      </c>
      <c r="J59" s="164">
        <f t="shared" si="12"/>
        <v>-2</v>
      </c>
      <c r="K59" s="165">
        <f t="shared" si="14"/>
        <v>5.8970396216614056E-5</v>
      </c>
      <c r="L59" s="81"/>
    </row>
    <row r="60" spans="1:12" x14ac:dyDescent="0.25">
      <c r="A60" s="162"/>
      <c r="B60" s="163" t="s">
        <v>133</v>
      </c>
      <c r="C60" s="164">
        <v>61</v>
      </c>
      <c r="D60" s="164">
        <v>63</v>
      </c>
      <c r="E60" s="164">
        <v>14</v>
      </c>
      <c r="F60" s="164">
        <v>48</v>
      </c>
      <c r="G60" s="164">
        <v>28</v>
      </c>
      <c r="H60" s="164">
        <v>39</v>
      </c>
      <c r="I60" s="165">
        <f t="shared" si="13"/>
        <v>0.39285714285714279</v>
      </c>
      <c r="J60" s="164">
        <f t="shared" si="12"/>
        <v>11</v>
      </c>
      <c r="K60" s="165">
        <f t="shared" si="14"/>
        <v>1.2567461488786603E-5</v>
      </c>
      <c r="L60" s="81"/>
    </row>
    <row r="61" spans="1:12" x14ac:dyDescent="0.25">
      <c r="A61" s="162" t="s">
        <v>149</v>
      </c>
      <c r="B61" s="163" t="s">
        <v>136</v>
      </c>
      <c r="C61" s="164">
        <v>17</v>
      </c>
      <c r="D61" s="164">
        <v>11</v>
      </c>
      <c r="E61" s="164">
        <v>0</v>
      </c>
      <c r="F61" s="164">
        <v>0</v>
      </c>
      <c r="G61" s="164">
        <v>61</v>
      </c>
      <c r="H61" s="164">
        <v>22</v>
      </c>
      <c r="I61" s="165">
        <f t="shared" si="13"/>
        <v>-0.63934426229508201</v>
      </c>
      <c r="J61" s="164">
        <f t="shared" si="12"/>
        <v>-39</v>
      </c>
      <c r="K61" s="165">
        <f t="shared" si="14"/>
        <v>7.0893372500847502E-6</v>
      </c>
      <c r="L61" s="81"/>
    </row>
    <row r="62" spans="1:12" x14ac:dyDescent="0.25">
      <c r="A62" s="162" t="s">
        <v>150</v>
      </c>
      <c r="B62" s="168" t="s">
        <v>150</v>
      </c>
      <c r="C62" s="169">
        <f t="shared" ref="C62:H62" si="15">C54-SUM(C55:C61)</f>
        <v>2558</v>
      </c>
      <c r="D62" s="169">
        <f t="shared" si="15"/>
        <v>1823</v>
      </c>
      <c r="E62" s="169">
        <f t="shared" si="15"/>
        <v>2159</v>
      </c>
      <c r="F62" s="169">
        <f t="shared" si="15"/>
        <v>3099</v>
      </c>
      <c r="G62" s="169">
        <f t="shared" si="15"/>
        <v>2872</v>
      </c>
      <c r="H62" s="169">
        <f t="shared" si="15"/>
        <v>3657</v>
      </c>
      <c r="I62" s="170">
        <f t="shared" si="13"/>
        <v>0.27332869080779942</v>
      </c>
      <c r="J62" s="169">
        <f>H62-G62</f>
        <v>785</v>
      </c>
      <c r="K62" s="170">
        <f t="shared" si="14"/>
        <v>1.1784411965254514E-3</v>
      </c>
      <c r="L62" s="81"/>
    </row>
    <row r="63" spans="1:12" s="146" customFormat="1" x14ac:dyDescent="0.25">
      <c r="A63" s="162"/>
      <c r="B63" s="155" t="s">
        <v>49</v>
      </c>
      <c r="C63" s="153"/>
      <c r="D63" s="153"/>
      <c r="E63" s="153"/>
      <c r="F63" s="153"/>
      <c r="G63" s="153"/>
      <c r="H63" s="153"/>
      <c r="I63" s="153"/>
      <c r="J63" s="153"/>
      <c r="K63" s="153"/>
    </row>
    <row r="64" spans="1:12" x14ac:dyDescent="0.25">
      <c r="A64" s="162"/>
      <c r="B64" s="156" t="s">
        <v>73</v>
      </c>
      <c r="C64" s="176">
        <v>6598</v>
      </c>
      <c r="D64" s="176">
        <v>137368</v>
      </c>
      <c r="E64" s="176">
        <v>85843</v>
      </c>
      <c r="F64" s="176">
        <v>99510</v>
      </c>
      <c r="G64" s="176">
        <v>107220</v>
      </c>
      <c r="H64" s="176">
        <v>101282</v>
      </c>
      <c r="I64" s="177">
        <f>IFERROR(H64/G64-1,"-")</f>
        <v>-5.538145868308153E-2</v>
      </c>
      <c r="J64" s="176">
        <f>H64-G64</f>
        <v>-5938</v>
      </c>
      <c r="K64" s="177">
        <f>H64/H$8</f>
        <v>3.263737524377653E-2</v>
      </c>
      <c r="L64" s="81"/>
    </row>
    <row r="65" spans="1:12" x14ac:dyDescent="0.25">
      <c r="A65" s="162" t="s">
        <v>101</v>
      </c>
      <c r="B65" s="159" t="s">
        <v>102</v>
      </c>
      <c r="C65" s="160">
        <v>4812</v>
      </c>
      <c r="D65" s="160">
        <v>40192</v>
      </c>
      <c r="E65" s="160">
        <v>32572</v>
      </c>
      <c r="F65" s="160">
        <v>20634</v>
      </c>
      <c r="G65" s="160">
        <v>30091</v>
      </c>
      <c r="H65" s="160">
        <v>21701</v>
      </c>
      <c r="I65" s="161">
        <f>IFERROR(H65/G65-1,"-")</f>
        <v>-0.27882090990661657</v>
      </c>
      <c r="J65" s="160">
        <f t="shared" ref="J65:J75" si="16">H65-G65</f>
        <v>-8390</v>
      </c>
      <c r="K65" s="161">
        <f>H65/H$8</f>
        <v>6.9929867120040526E-3</v>
      </c>
      <c r="L65" s="81"/>
    </row>
    <row r="66" spans="1:12" x14ac:dyDescent="0.25">
      <c r="A66" s="162" t="s">
        <v>108</v>
      </c>
      <c r="B66" s="163" t="s">
        <v>108</v>
      </c>
      <c r="C66" s="164">
        <v>4478</v>
      </c>
      <c r="D66" s="164">
        <v>33113</v>
      </c>
      <c r="E66" s="164">
        <v>20384</v>
      </c>
      <c r="F66" s="164">
        <v>7059</v>
      </c>
      <c r="G66" s="164">
        <v>7169</v>
      </c>
      <c r="H66" s="164">
        <v>5634</v>
      </c>
      <c r="I66" s="165">
        <f>IFERROR(H66/G66-1,"-")</f>
        <v>-0.21411633421676668</v>
      </c>
      <c r="J66" s="164">
        <f t="shared" si="16"/>
        <v>-1535</v>
      </c>
      <c r="K66" s="165">
        <f>H66/H$8</f>
        <v>1.8155148212262492E-3</v>
      </c>
      <c r="L66" s="81"/>
    </row>
    <row r="67" spans="1:12" x14ac:dyDescent="0.25">
      <c r="A67" s="162" t="s">
        <v>105</v>
      </c>
      <c r="B67" s="163" t="s">
        <v>105</v>
      </c>
      <c r="C67" s="164">
        <v>334</v>
      </c>
      <c r="D67" s="164">
        <v>7079</v>
      </c>
      <c r="E67" s="164">
        <v>12188</v>
      </c>
      <c r="F67" s="164">
        <v>13575</v>
      </c>
      <c r="G67" s="164">
        <v>22922</v>
      </c>
      <c r="H67" s="164">
        <v>16067</v>
      </c>
      <c r="I67" s="165">
        <f>IFERROR(H67/G67-1,"-")</f>
        <v>-0.29905767385044935</v>
      </c>
      <c r="J67" s="164">
        <f t="shared" si="16"/>
        <v>-6855</v>
      </c>
      <c r="K67" s="165">
        <f>H67/H$8</f>
        <v>5.1774718907778034E-3</v>
      </c>
      <c r="L67" s="81"/>
    </row>
    <row r="68" spans="1:12" x14ac:dyDescent="0.25">
      <c r="A68" s="162"/>
      <c r="B68" s="159" t="s">
        <v>112</v>
      </c>
      <c r="C68" s="160">
        <v>1786</v>
      </c>
      <c r="D68" s="160">
        <v>97176</v>
      </c>
      <c r="E68" s="160">
        <v>53271</v>
      </c>
      <c r="F68" s="160">
        <v>78876</v>
      </c>
      <c r="G68" s="160">
        <v>77129</v>
      </c>
      <c r="H68" s="160">
        <v>79581</v>
      </c>
      <c r="I68" s="161">
        <f>IFERROR(H68/G68-1,"-")</f>
        <v>3.1790895772018324E-2</v>
      </c>
      <c r="J68" s="160">
        <f t="shared" si="16"/>
        <v>2452</v>
      </c>
      <c r="K68" s="161">
        <f>H68/H$8</f>
        <v>2.5644388531772477E-2</v>
      </c>
      <c r="L68" s="81"/>
    </row>
    <row r="69" spans="1:12" s="57" customFormat="1" x14ac:dyDescent="0.25">
      <c r="A69" s="162"/>
      <c r="B69" s="163" t="s">
        <v>115</v>
      </c>
      <c r="C69" s="164">
        <v>0</v>
      </c>
      <c r="D69" s="164">
        <v>55357</v>
      </c>
      <c r="E69" s="164">
        <v>27428</v>
      </c>
      <c r="F69" s="164">
        <v>46489</v>
      </c>
      <c r="G69" s="164">
        <v>42784</v>
      </c>
      <c r="H69" s="164">
        <v>45651</v>
      </c>
      <c r="I69" s="165">
        <f t="shared" ref="I69:I76" si="17">IFERROR(H69/G69-1,"-")</f>
        <v>6.7011032161555795E-2</v>
      </c>
      <c r="J69" s="164">
        <f t="shared" si="16"/>
        <v>2867</v>
      </c>
      <c r="K69" s="165">
        <f t="shared" ref="K69:K76" si="18">H69/H$8</f>
        <v>1.4710697036528133E-2</v>
      </c>
      <c r="L69" s="166"/>
    </row>
    <row r="70" spans="1:12" s="57" customFormat="1" x14ac:dyDescent="0.25">
      <c r="A70" s="162"/>
      <c r="B70" s="163" t="s">
        <v>118</v>
      </c>
      <c r="C70" s="164">
        <v>256</v>
      </c>
      <c r="D70" s="164">
        <v>1577</v>
      </c>
      <c r="E70" s="164">
        <v>9073</v>
      </c>
      <c r="F70" s="164">
        <v>4680</v>
      </c>
      <c r="G70" s="164">
        <v>4528</v>
      </c>
      <c r="H70" s="164">
        <v>3938</v>
      </c>
      <c r="I70" s="165">
        <f t="shared" si="17"/>
        <v>-0.1303003533568905</v>
      </c>
      <c r="J70" s="164">
        <f t="shared" si="16"/>
        <v>-590</v>
      </c>
      <c r="K70" s="165">
        <f t="shared" si="18"/>
        <v>1.2689913677651702E-3</v>
      </c>
      <c r="L70" s="166"/>
    </row>
    <row r="71" spans="1:12" x14ac:dyDescent="0.25">
      <c r="A71" s="162"/>
      <c r="B71" s="163" t="s">
        <v>121</v>
      </c>
      <c r="C71" s="164">
        <v>759</v>
      </c>
      <c r="D71" s="164">
        <v>12259</v>
      </c>
      <c r="E71" s="164">
        <v>2311</v>
      </c>
      <c r="F71" s="164">
        <v>5749</v>
      </c>
      <c r="G71" s="164">
        <v>5796</v>
      </c>
      <c r="H71" s="164">
        <v>5026</v>
      </c>
      <c r="I71" s="165">
        <f t="shared" si="17"/>
        <v>-0.13285024154589375</v>
      </c>
      <c r="J71" s="164">
        <f t="shared" si="16"/>
        <v>-770</v>
      </c>
      <c r="K71" s="165">
        <f t="shared" si="18"/>
        <v>1.6195913190420888E-3</v>
      </c>
      <c r="L71" s="81"/>
    </row>
    <row r="72" spans="1:12" x14ac:dyDescent="0.25">
      <c r="A72" s="162"/>
      <c r="B72" s="163" t="s">
        <v>128</v>
      </c>
      <c r="C72" s="164">
        <v>48</v>
      </c>
      <c r="D72" s="164">
        <v>2346</v>
      </c>
      <c r="E72" s="164">
        <v>2234</v>
      </c>
      <c r="F72" s="164">
        <v>1956</v>
      </c>
      <c r="G72" s="164">
        <v>3849</v>
      </c>
      <c r="H72" s="164">
        <v>4096</v>
      </c>
      <c r="I72" s="165">
        <f t="shared" si="17"/>
        <v>6.4172512340867849E-2</v>
      </c>
      <c r="J72" s="164">
        <f t="shared" si="16"/>
        <v>247</v>
      </c>
      <c r="K72" s="165">
        <f t="shared" si="18"/>
        <v>1.3199056989248697E-3</v>
      </c>
      <c r="L72" s="81"/>
    </row>
    <row r="73" spans="1:12" x14ac:dyDescent="0.25">
      <c r="A73" s="162"/>
      <c r="B73" s="163" t="s">
        <v>124</v>
      </c>
      <c r="C73" s="164">
        <v>272</v>
      </c>
      <c r="D73" s="164">
        <v>4173</v>
      </c>
      <c r="E73" s="164">
        <v>1095</v>
      </c>
      <c r="F73" s="164">
        <v>3193</v>
      </c>
      <c r="G73" s="164">
        <v>1492</v>
      </c>
      <c r="H73" s="164">
        <v>1684</v>
      </c>
      <c r="I73" s="165">
        <f t="shared" si="17"/>
        <v>0.12868632707774807</v>
      </c>
      <c r="J73" s="164">
        <f t="shared" si="16"/>
        <v>192</v>
      </c>
      <c r="K73" s="165">
        <f t="shared" si="18"/>
        <v>5.4265654223375993E-4</v>
      </c>
      <c r="L73" s="81"/>
    </row>
    <row r="74" spans="1:12" x14ac:dyDescent="0.25">
      <c r="A74" s="162"/>
      <c r="B74" s="163" t="s">
        <v>133</v>
      </c>
      <c r="C74" s="164">
        <v>0</v>
      </c>
      <c r="D74" s="164">
        <v>91</v>
      </c>
      <c r="E74" s="164">
        <v>54</v>
      </c>
      <c r="F74" s="164">
        <v>80</v>
      </c>
      <c r="G74" s="164">
        <v>745</v>
      </c>
      <c r="H74" s="164">
        <v>174</v>
      </c>
      <c r="I74" s="165">
        <f t="shared" si="17"/>
        <v>-0.76644295302013421</v>
      </c>
      <c r="J74" s="164">
        <f t="shared" si="16"/>
        <v>-571</v>
      </c>
      <c r="K74" s="165">
        <f t="shared" si="18"/>
        <v>5.6070212796124841E-5</v>
      </c>
      <c r="L74" s="81"/>
    </row>
    <row r="75" spans="1:12" x14ac:dyDescent="0.25">
      <c r="A75" s="162" t="s">
        <v>149</v>
      </c>
      <c r="B75" s="163" t="s">
        <v>136</v>
      </c>
      <c r="C75" s="164">
        <v>0</v>
      </c>
      <c r="D75" s="164">
        <v>31</v>
      </c>
      <c r="E75" s="164">
        <v>68</v>
      </c>
      <c r="F75" s="164">
        <v>0</v>
      </c>
      <c r="G75" s="164">
        <v>476</v>
      </c>
      <c r="H75" s="164">
        <v>139</v>
      </c>
      <c r="I75" s="165">
        <f t="shared" si="17"/>
        <v>-0.70798319327731085</v>
      </c>
      <c r="J75" s="164">
        <f t="shared" si="16"/>
        <v>-337</v>
      </c>
      <c r="K75" s="165">
        <f t="shared" si="18"/>
        <v>4.4791721716444554E-5</v>
      </c>
      <c r="L75" s="81"/>
    </row>
    <row r="76" spans="1:12" x14ac:dyDescent="0.25">
      <c r="A76" s="162" t="s">
        <v>150</v>
      </c>
      <c r="B76" s="168" t="s">
        <v>150</v>
      </c>
      <c r="C76" s="169">
        <f t="shared" ref="C76:H76" si="19">C68-SUM(C69:C75)</f>
        <v>451</v>
      </c>
      <c r="D76" s="169">
        <f t="shared" si="19"/>
        <v>21342</v>
      </c>
      <c r="E76" s="169">
        <f t="shared" si="19"/>
        <v>11008</v>
      </c>
      <c r="F76" s="169">
        <f t="shared" si="19"/>
        <v>16729</v>
      </c>
      <c r="G76" s="169">
        <f t="shared" si="19"/>
        <v>17459</v>
      </c>
      <c r="H76" s="169">
        <f t="shared" si="19"/>
        <v>18873</v>
      </c>
      <c r="I76" s="170">
        <f t="shared" si="17"/>
        <v>8.0989747408213519E-2</v>
      </c>
      <c r="J76" s="169">
        <f>H76-G76</f>
        <v>1414</v>
      </c>
      <c r="K76" s="170">
        <f t="shared" si="18"/>
        <v>6.0816846327658852E-3</v>
      </c>
      <c r="L76" s="81"/>
    </row>
    <row r="77" spans="1:12" s="146" customFormat="1" x14ac:dyDescent="0.25">
      <c r="A77" s="162"/>
      <c r="B77" s="155" t="s">
        <v>50</v>
      </c>
      <c r="C77" s="153"/>
      <c r="D77" s="153"/>
      <c r="E77" s="153"/>
      <c r="F77" s="153"/>
      <c r="G77" s="153"/>
      <c r="H77" s="153"/>
      <c r="I77" s="153"/>
      <c r="J77" s="153"/>
      <c r="K77" s="153"/>
    </row>
    <row r="78" spans="1:12" x14ac:dyDescent="0.25">
      <c r="A78" s="162"/>
      <c r="B78" s="156" t="s">
        <v>73</v>
      </c>
      <c r="C78" s="176">
        <v>225677</v>
      </c>
      <c r="D78" s="176">
        <v>417659</v>
      </c>
      <c r="E78" s="176">
        <v>467372</v>
      </c>
      <c r="F78" s="176">
        <v>532065</v>
      </c>
      <c r="G78" s="176">
        <v>526626</v>
      </c>
      <c r="H78" s="176">
        <v>483735</v>
      </c>
      <c r="I78" s="177">
        <f>IFERROR(H78/G78-1,"-")</f>
        <v>-8.1444896378074727E-2</v>
      </c>
      <c r="J78" s="176">
        <f>H78-G78</f>
        <v>-42891</v>
      </c>
      <c r="K78" s="177">
        <f>H78/H$8</f>
        <v>0.15588002521226121</v>
      </c>
      <c r="L78" s="81"/>
    </row>
    <row r="79" spans="1:12" x14ac:dyDescent="0.25">
      <c r="A79" s="162" t="s">
        <v>101</v>
      </c>
      <c r="B79" s="159" t="s">
        <v>102</v>
      </c>
      <c r="C79" s="160">
        <v>128184</v>
      </c>
      <c r="D79" s="160">
        <v>201715</v>
      </c>
      <c r="E79" s="160">
        <v>206923</v>
      </c>
      <c r="F79" s="160">
        <v>207746</v>
      </c>
      <c r="G79" s="160">
        <v>219561</v>
      </c>
      <c r="H79" s="160">
        <v>202189</v>
      </c>
      <c r="I79" s="161">
        <f>IFERROR(H79/G79-1,"-")</f>
        <v>-7.9121519759884462E-2</v>
      </c>
      <c r="J79" s="160">
        <f t="shared" ref="J79:J89" si="20">H79-G79</f>
        <v>-17372</v>
      </c>
      <c r="K79" s="161">
        <f>H79/H$8</f>
        <v>6.5153909511699346E-2</v>
      </c>
      <c r="L79" s="81"/>
    </row>
    <row r="80" spans="1:12" x14ac:dyDescent="0.25">
      <c r="A80" s="162" t="s">
        <v>108</v>
      </c>
      <c r="B80" s="163" t="s">
        <v>108</v>
      </c>
      <c r="C80" s="164">
        <v>30117</v>
      </c>
      <c r="D80" s="164">
        <v>45512</v>
      </c>
      <c r="E80" s="164">
        <v>40590</v>
      </c>
      <c r="F80" s="164">
        <v>44651</v>
      </c>
      <c r="G80" s="164">
        <v>35011</v>
      </c>
      <c r="H80" s="164">
        <v>44563</v>
      </c>
      <c r="I80" s="165">
        <f>IFERROR(H80/G80-1,"-")</f>
        <v>0.2728285396018395</v>
      </c>
      <c r="J80" s="164">
        <f t="shared" si="20"/>
        <v>9552</v>
      </c>
      <c r="K80" s="165">
        <f>H80/H$8</f>
        <v>1.4360097085251215E-2</v>
      </c>
      <c r="L80" s="81"/>
    </row>
    <row r="81" spans="1:12" x14ac:dyDescent="0.25">
      <c r="A81" s="162" t="s">
        <v>105</v>
      </c>
      <c r="B81" s="163" t="s">
        <v>105</v>
      </c>
      <c r="C81" s="164">
        <v>98067</v>
      </c>
      <c r="D81" s="164">
        <v>156203</v>
      </c>
      <c r="E81" s="164">
        <v>166333</v>
      </c>
      <c r="F81" s="164">
        <v>163095</v>
      </c>
      <c r="G81" s="164">
        <v>184550</v>
      </c>
      <c r="H81" s="164">
        <v>157626</v>
      </c>
      <c r="I81" s="165">
        <f>IFERROR(H81/G81-1,"-")</f>
        <v>-0.14589000270929287</v>
      </c>
      <c r="J81" s="164">
        <f t="shared" si="20"/>
        <v>-26924</v>
      </c>
      <c r="K81" s="165">
        <f>H81/H$8</f>
        <v>5.0793812426448127E-2</v>
      </c>
      <c r="L81" s="81"/>
    </row>
    <row r="82" spans="1:12" x14ac:dyDescent="0.25">
      <c r="A82" s="162"/>
      <c r="B82" s="159" t="s">
        <v>112</v>
      </c>
      <c r="C82" s="160">
        <v>97493</v>
      </c>
      <c r="D82" s="160">
        <v>215944</v>
      </c>
      <c r="E82" s="160">
        <v>260449</v>
      </c>
      <c r="F82" s="160">
        <v>324319</v>
      </c>
      <c r="G82" s="160">
        <v>307065</v>
      </c>
      <c r="H82" s="160">
        <v>281546</v>
      </c>
      <c r="I82" s="161">
        <f>IFERROR(H82/G82-1,"-")</f>
        <v>-8.310618273004089E-2</v>
      </c>
      <c r="J82" s="160">
        <f t="shared" si="20"/>
        <v>-25519</v>
      </c>
      <c r="K82" s="161">
        <f>H82/H$8</f>
        <v>9.0726115700561868E-2</v>
      </c>
      <c r="L82" s="81"/>
    </row>
    <row r="83" spans="1:12" s="57" customFormat="1" x14ac:dyDescent="0.25">
      <c r="A83" s="162"/>
      <c r="B83" s="163" t="s">
        <v>115</v>
      </c>
      <c r="C83" s="164">
        <v>6240</v>
      </c>
      <c r="D83" s="164">
        <v>54259</v>
      </c>
      <c r="E83" s="164">
        <v>65119</v>
      </c>
      <c r="F83" s="164">
        <v>73992</v>
      </c>
      <c r="G83" s="164">
        <v>84559</v>
      </c>
      <c r="H83" s="164">
        <v>75169</v>
      </c>
      <c r="I83" s="165">
        <f t="shared" ref="I83:I90" si="21">IFERROR(H83/G83-1,"-")</f>
        <v>-0.11104672477205269</v>
      </c>
      <c r="J83" s="164">
        <f t="shared" si="20"/>
        <v>-9390</v>
      </c>
      <c r="K83" s="165">
        <f t="shared" ref="K83:K90" si="22">H83/H$8</f>
        <v>2.4222654170528206E-2</v>
      </c>
      <c r="L83" s="166"/>
    </row>
    <row r="84" spans="1:12" s="57" customFormat="1" x14ac:dyDescent="0.25">
      <c r="A84" s="162"/>
      <c r="B84" s="163" t="s">
        <v>118</v>
      </c>
      <c r="C84" s="164">
        <v>31188</v>
      </c>
      <c r="D84" s="164">
        <v>65143</v>
      </c>
      <c r="E84" s="164">
        <v>64185</v>
      </c>
      <c r="F84" s="164">
        <v>76623</v>
      </c>
      <c r="G84" s="164">
        <v>61560</v>
      </c>
      <c r="H84" s="164">
        <v>55358</v>
      </c>
      <c r="I84" s="165">
        <f t="shared" si="21"/>
        <v>-0.10074723846653666</v>
      </c>
      <c r="J84" s="164">
        <f t="shared" si="20"/>
        <v>-6202</v>
      </c>
      <c r="K84" s="165">
        <f t="shared" si="22"/>
        <v>1.783870597682689E-2</v>
      </c>
      <c r="L84" s="166"/>
    </row>
    <row r="85" spans="1:12" x14ac:dyDescent="0.25">
      <c r="A85" s="162"/>
      <c r="B85" s="163" t="s">
        <v>121</v>
      </c>
      <c r="C85" s="164">
        <v>11639</v>
      </c>
      <c r="D85" s="164">
        <v>15423</v>
      </c>
      <c r="E85" s="164">
        <v>20495</v>
      </c>
      <c r="F85" s="164">
        <v>38922</v>
      </c>
      <c r="G85" s="164">
        <v>37753</v>
      </c>
      <c r="H85" s="164">
        <v>40347</v>
      </c>
      <c r="I85" s="165">
        <f t="shared" si="21"/>
        <v>6.8709771408894671E-2</v>
      </c>
      <c r="J85" s="164">
        <f t="shared" si="20"/>
        <v>2594</v>
      </c>
      <c r="K85" s="165">
        <f t="shared" si="22"/>
        <v>1.3001522274053155E-2</v>
      </c>
      <c r="L85" s="81"/>
    </row>
    <row r="86" spans="1:12" x14ac:dyDescent="0.25">
      <c r="A86" s="162"/>
      <c r="B86" s="163" t="s">
        <v>128</v>
      </c>
      <c r="C86" s="164">
        <v>3777</v>
      </c>
      <c r="D86" s="164">
        <v>7258</v>
      </c>
      <c r="E86" s="164">
        <v>10133</v>
      </c>
      <c r="F86" s="164">
        <v>17870</v>
      </c>
      <c r="G86" s="164">
        <v>13019</v>
      </c>
      <c r="H86" s="164">
        <v>13707</v>
      </c>
      <c r="I86" s="165">
        <f t="shared" si="21"/>
        <v>5.2845840694369706E-2</v>
      </c>
      <c r="J86" s="164">
        <f t="shared" si="20"/>
        <v>688</v>
      </c>
      <c r="K86" s="165">
        <f t="shared" si="22"/>
        <v>4.4169793494050757E-3</v>
      </c>
      <c r="L86" s="81"/>
    </row>
    <row r="87" spans="1:12" x14ac:dyDescent="0.25">
      <c r="A87" s="162"/>
      <c r="B87" s="163" t="s">
        <v>124</v>
      </c>
      <c r="C87" s="164">
        <v>2335</v>
      </c>
      <c r="D87" s="164">
        <v>3144</v>
      </c>
      <c r="E87" s="164">
        <v>6014</v>
      </c>
      <c r="F87" s="164">
        <v>8924</v>
      </c>
      <c r="G87" s="164">
        <v>6844</v>
      </c>
      <c r="H87" s="164">
        <v>7804</v>
      </c>
      <c r="I87" s="165">
        <f t="shared" si="21"/>
        <v>0.14026884862653421</v>
      </c>
      <c r="J87" s="164">
        <f t="shared" si="20"/>
        <v>960</v>
      </c>
      <c r="K87" s="165">
        <f t="shared" si="22"/>
        <v>2.5147812681664268E-3</v>
      </c>
      <c r="L87" s="81"/>
    </row>
    <row r="88" spans="1:12" x14ac:dyDescent="0.25">
      <c r="A88" s="162"/>
      <c r="B88" s="163" t="s">
        <v>133</v>
      </c>
      <c r="C88" s="164">
        <v>915</v>
      </c>
      <c r="D88" s="164">
        <v>2777</v>
      </c>
      <c r="E88" s="164">
        <v>1212</v>
      </c>
      <c r="F88" s="164">
        <v>1623</v>
      </c>
      <c r="G88" s="164">
        <v>3070</v>
      </c>
      <c r="H88" s="164">
        <v>1889</v>
      </c>
      <c r="I88" s="165">
        <f t="shared" si="21"/>
        <v>-0.38469055374592831</v>
      </c>
      <c r="J88" s="164">
        <f t="shared" si="20"/>
        <v>-1181</v>
      </c>
      <c r="K88" s="165">
        <f t="shared" si="22"/>
        <v>6.087162757004587E-4</v>
      </c>
      <c r="L88" s="81"/>
    </row>
    <row r="89" spans="1:12" x14ac:dyDescent="0.25">
      <c r="A89" s="162" t="s">
        <v>149</v>
      </c>
      <c r="B89" s="163" t="s">
        <v>136</v>
      </c>
      <c r="C89" s="164">
        <v>212</v>
      </c>
      <c r="D89" s="164">
        <v>1013</v>
      </c>
      <c r="E89" s="164">
        <v>1172</v>
      </c>
      <c r="F89" s="164">
        <v>428</v>
      </c>
      <c r="G89" s="164">
        <v>386</v>
      </c>
      <c r="H89" s="164">
        <v>458</v>
      </c>
      <c r="I89" s="165">
        <f t="shared" si="21"/>
        <v>0.18652849740932642</v>
      </c>
      <c r="J89" s="164">
        <f t="shared" si="20"/>
        <v>72</v>
      </c>
      <c r="K89" s="165">
        <f t="shared" si="22"/>
        <v>1.4758711184267344E-4</v>
      </c>
      <c r="L89" s="81"/>
    </row>
    <row r="90" spans="1:12" x14ac:dyDescent="0.25">
      <c r="A90" s="162" t="s">
        <v>150</v>
      </c>
      <c r="B90" s="168" t="s">
        <v>150</v>
      </c>
      <c r="C90" s="169">
        <f t="shared" ref="C90:H90" si="23">C82-SUM(C83:C89)</f>
        <v>41187</v>
      </c>
      <c r="D90" s="169">
        <f t="shared" si="23"/>
        <v>66927</v>
      </c>
      <c r="E90" s="169">
        <f t="shared" si="23"/>
        <v>92119</v>
      </c>
      <c r="F90" s="169">
        <f t="shared" si="23"/>
        <v>105937</v>
      </c>
      <c r="G90" s="169">
        <f t="shared" si="23"/>
        <v>99874</v>
      </c>
      <c r="H90" s="169">
        <f t="shared" si="23"/>
        <v>86814</v>
      </c>
      <c r="I90" s="170">
        <f t="shared" si="21"/>
        <v>-0.13076476360213873</v>
      </c>
      <c r="J90" s="169">
        <f>H90-G90</f>
        <v>-13060</v>
      </c>
      <c r="K90" s="170">
        <f t="shared" si="22"/>
        <v>2.7975169274038977E-2</v>
      </c>
      <c r="L90" s="81"/>
    </row>
    <row r="91" spans="1:12" s="146" customFormat="1" x14ac:dyDescent="0.25">
      <c r="A91" s="162"/>
      <c r="B91" s="155" t="s">
        <v>51</v>
      </c>
      <c r="C91" s="153"/>
      <c r="D91" s="153"/>
      <c r="E91" s="153"/>
      <c r="F91" s="153"/>
      <c r="G91" s="153"/>
      <c r="H91" s="153"/>
      <c r="I91" s="153"/>
      <c r="J91" s="153"/>
      <c r="K91" s="153"/>
    </row>
    <row r="92" spans="1:12" x14ac:dyDescent="0.25">
      <c r="A92" s="162"/>
      <c r="B92" s="156" t="s">
        <v>73</v>
      </c>
      <c r="C92" s="176">
        <v>5672</v>
      </c>
      <c r="D92" s="176">
        <v>10710</v>
      </c>
      <c r="E92" s="176">
        <v>9594</v>
      </c>
      <c r="F92" s="176">
        <v>10140</v>
      </c>
      <c r="G92" s="176">
        <v>9995</v>
      </c>
      <c r="H92" s="176">
        <v>7834</v>
      </c>
      <c r="I92" s="177">
        <f>IFERROR(H92/G92-1,"-")</f>
        <v>-0.21620810405202606</v>
      </c>
      <c r="J92" s="176">
        <f>H92-G92</f>
        <v>-2161</v>
      </c>
      <c r="K92" s="177">
        <f>H92/H$8</f>
        <v>2.524448546234724E-3</v>
      </c>
      <c r="L92" s="81"/>
    </row>
    <row r="93" spans="1:12" x14ac:dyDescent="0.25">
      <c r="A93" s="162" t="s">
        <v>101</v>
      </c>
      <c r="B93" s="159" t="s">
        <v>102</v>
      </c>
      <c r="C93" s="160">
        <v>3172</v>
      </c>
      <c r="D93" s="160">
        <v>6763</v>
      </c>
      <c r="E93" s="160">
        <v>6308</v>
      </c>
      <c r="F93" s="160">
        <v>6741</v>
      </c>
      <c r="G93" s="160">
        <v>6401</v>
      </c>
      <c r="H93" s="160">
        <v>4592</v>
      </c>
      <c r="I93" s="161">
        <f>IFERROR(H93/G93-1,"-")</f>
        <v>-0.28261209186064673</v>
      </c>
      <c r="J93" s="160">
        <f t="shared" ref="J93:J103" si="24">H93-G93</f>
        <v>-1809</v>
      </c>
      <c r="K93" s="161">
        <f>H93/H$8</f>
        <v>1.4797380296540533E-3</v>
      </c>
      <c r="L93" s="81"/>
    </row>
    <row r="94" spans="1:12" x14ac:dyDescent="0.25">
      <c r="A94" s="162" t="s">
        <v>108</v>
      </c>
      <c r="B94" s="163" t="s">
        <v>108</v>
      </c>
      <c r="C94" s="164">
        <v>1191</v>
      </c>
      <c r="D94" s="164">
        <v>2851</v>
      </c>
      <c r="E94" s="164">
        <v>2003</v>
      </c>
      <c r="F94" s="164">
        <v>2667</v>
      </c>
      <c r="G94" s="164">
        <v>2062</v>
      </c>
      <c r="H94" s="164">
        <v>1898</v>
      </c>
      <c r="I94" s="165">
        <f>IFERROR(H94/G94-1,"-")</f>
        <v>-7.9534432589718707E-2</v>
      </c>
      <c r="J94" s="164">
        <f t="shared" si="24"/>
        <v>-164</v>
      </c>
      <c r="K94" s="165">
        <f>H94/H$8</f>
        <v>6.1161645912094801E-4</v>
      </c>
      <c r="L94" s="81"/>
    </row>
    <row r="95" spans="1:12" x14ac:dyDescent="0.25">
      <c r="A95" s="162" t="s">
        <v>105</v>
      </c>
      <c r="B95" s="163" t="s">
        <v>105</v>
      </c>
      <c r="C95" s="164">
        <v>1981</v>
      </c>
      <c r="D95" s="164">
        <v>3912</v>
      </c>
      <c r="E95" s="164">
        <v>4305</v>
      </c>
      <c r="F95" s="164">
        <v>4074</v>
      </c>
      <c r="G95" s="164">
        <v>4339</v>
      </c>
      <c r="H95" s="164">
        <v>2694</v>
      </c>
      <c r="I95" s="165">
        <f>IFERROR(H95/G95-1,"-")</f>
        <v>-0.37911961281401241</v>
      </c>
      <c r="J95" s="164">
        <f t="shared" si="24"/>
        <v>-1645</v>
      </c>
      <c r="K95" s="165">
        <f>H95/H$8</f>
        <v>8.6812157053310526E-4</v>
      </c>
      <c r="L95" s="81"/>
    </row>
    <row r="96" spans="1:12" x14ac:dyDescent="0.25">
      <c r="A96" s="162"/>
      <c r="B96" s="159" t="s">
        <v>112</v>
      </c>
      <c r="C96" s="160">
        <v>2500</v>
      </c>
      <c r="D96" s="160">
        <v>3947</v>
      </c>
      <c r="E96" s="160">
        <v>3286</v>
      </c>
      <c r="F96" s="160">
        <v>3399</v>
      </c>
      <c r="G96" s="160">
        <v>3594</v>
      </c>
      <c r="H96" s="160">
        <v>3242</v>
      </c>
      <c r="I96" s="161">
        <f>IFERROR(H96/G96-1,"-")</f>
        <v>-9.7941012799109606E-2</v>
      </c>
      <c r="J96" s="160">
        <f t="shared" si="24"/>
        <v>-352</v>
      </c>
      <c r="K96" s="161">
        <f>H96/H$8</f>
        <v>1.0447105165806709E-3</v>
      </c>
      <c r="L96" s="81"/>
    </row>
    <row r="97" spans="1:12" s="57" customFormat="1" x14ac:dyDescent="0.25">
      <c r="A97" s="162"/>
      <c r="B97" s="163" t="s">
        <v>115</v>
      </c>
      <c r="C97" s="164">
        <v>184</v>
      </c>
      <c r="D97" s="164">
        <v>456</v>
      </c>
      <c r="E97" s="164">
        <v>444</v>
      </c>
      <c r="F97" s="164">
        <v>401</v>
      </c>
      <c r="G97" s="164">
        <v>401</v>
      </c>
      <c r="H97" s="164">
        <v>241</v>
      </c>
      <c r="I97" s="165">
        <f t="shared" ref="I97:I104" si="25">IFERROR(H97/G97-1,"-")</f>
        <v>-0.39900249376558605</v>
      </c>
      <c r="J97" s="164">
        <f t="shared" si="24"/>
        <v>-160</v>
      </c>
      <c r="K97" s="165">
        <f t="shared" ref="K97:K104" si="26">H97/H$8</f>
        <v>7.7660467148655667E-5</v>
      </c>
      <c r="L97" s="166"/>
    </row>
    <row r="98" spans="1:12" s="57" customFormat="1" x14ac:dyDescent="0.25">
      <c r="A98" s="162"/>
      <c r="B98" s="163" t="s">
        <v>118</v>
      </c>
      <c r="C98" s="164">
        <v>856</v>
      </c>
      <c r="D98" s="164">
        <v>945</v>
      </c>
      <c r="E98" s="164">
        <v>427</v>
      </c>
      <c r="F98" s="164">
        <v>454</v>
      </c>
      <c r="G98" s="164">
        <v>390</v>
      </c>
      <c r="H98" s="164">
        <v>801</v>
      </c>
      <c r="I98" s="165">
        <f t="shared" si="25"/>
        <v>1.0538461538461537</v>
      </c>
      <c r="J98" s="164">
        <f t="shared" si="24"/>
        <v>411</v>
      </c>
      <c r="K98" s="165">
        <f t="shared" si="26"/>
        <v>2.5811632442354019E-4</v>
      </c>
      <c r="L98" s="166"/>
    </row>
    <row r="99" spans="1:12" x14ac:dyDescent="0.25">
      <c r="A99" s="162"/>
      <c r="B99" s="163" t="s">
        <v>121</v>
      </c>
      <c r="C99" s="164">
        <v>421</v>
      </c>
      <c r="D99" s="164">
        <v>580</v>
      </c>
      <c r="E99" s="164">
        <v>379</v>
      </c>
      <c r="F99" s="164">
        <v>596</v>
      </c>
      <c r="G99" s="164">
        <v>405</v>
      </c>
      <c r="H99" s="164">
        <v>529</v>
      </c>
      <c r="I99" s="165">
        <f t="shared" si="25"/>
        <v>0.30617283950617291</v>
      </c>
      <c r="J99" s="164">
        <f t="shared" si="24"/>
        <v>124</v>
      </c>
      <c r="K99" s="165">
        <f t="shared" si="26"/>
        <v>1.7046633660431056E-4</v>
      </c>
      <c r="L99" s="81"/>
    </row>
    <row r="100" spans="1:12" x14ac:dyDescent="0.25">
      <c r="A100" s="162"/>
      <c r="B100" s="163" t="s">
        <v>128</v>
      </c>
      <c r="C100" s="164">
        <v>37</v>
      </c>
      <c r="D100" s="164">
        <v>155</v>
      </c>
      <c r="E100" s="164">
        <v>176</v>
      </c>
      <c r="F100" s="164">
        <v>134</v>
      </c>
      <c r="G100" s="164">
        <v>130</v>
      </c>
      <c r="H100" s="164">
        <v>103</v>
      </c>
      <c r="I100" s="165">
        <f t="shared" si="25"/>
        <v>-0.20769230769230773</v>
      </c>
      <c r="J100" s="164">
        <f t="shared" si="24"/>
        <v>-27</v>
      </c>
      <c r="K100" s="165">
        <f t="shared" si="26"/>
        <v>3.3190988034487694E-5</v>
      </c>
      <c r="L100" s="81"/>
    </row>
    <row r="101" spans="1:12" x14ac:dyDescent="0.25">
      <c r="A101" s="162"/>
      <c r="B101" s="163" t="s">
        <v>124</v>
      </c>
      <c r="C101" s="164">
        <v>108</v>
      </c>
      <c r="D101" s="164">
        <v>209</v>
      </c>
      <c r="E101" s="164">
        <v>111</v>
      </c>
      <c r="F101" s="164">
        <v>59</v>
      </c>
      <c r="G101" s="164">
        <v>178</v>
      </c>
      <c r="H101" s="164">
        <v>119</v>
      </c>
      <c r="I101" s="165">
        <f t="shared" si="25"/>
        <v>-0.3314606741573034</v>
      </c>
      <c r="J101" s="164">
        <f t="shared" si="24"/>
        <v>-59</v>
      </c>
      <c r="K101" s="165">
        <f t="shared" si="26"/>
        <v>3.8346869670912963E-5</v>
      </c>
      <c r="L101" s="81"/>
    </row>
    <row r="102" spans="1:12" x14ac:dyDescent="0.25">
      <c r="A102" s="162"/>
      <c r="B102" s="163" t="s">
        <v>133</v>
      </c>
      <c r="C102" s="164">
        <v>2</v>
      </c>
      <c r="D102" s="164">
        <v>17</v>
      </c>
      <c r="E102" s="164">
        <v>35</v>
      </c>
      <c r="F102" s="164">
        <v>45</v>
      </c>
      <c r="G102" s="164">
        <v>45</v>
      </c>
      <c r="H102" s="164">
        <v>1</v>
      </c>
      <c r="I102" s="165">
        <f t="shared" si="25"/>
        <v>-0.97777777777777775</v>
      </c>
      <c r="J102" s="164">
        <f t="shared" si="24"/>
        <v>-44</v>
      </c>
      <c r="K102" s="165">
        <f t="shared" si="26"/>
        <v>3.2224260227657952E-7</v>
      </c>
      <c r="L102" s="81"/>
    </row>
    <row r="103" spans="1:12" x14ac:dyDescent="0.25">
      <c r="A103" s="162" t="s">
        <v>149</v>
      </c>
      <c r="B103" s="163" t="s">
        <v>136</v>
      </c>
      <c r="C103" s="164">
        <v>7</v>
      </c>
      <c r="D103" s="164">
        <v>10</v>
      </c>
      <c r="E103" s="164">
        <v>29</v>
      </c>
      <c r="F103" s="164">
        <v>2</v>
      </c>
      <c r="G103" s="164">
        <v>20</v>
      </c>
      <c r="H103" s="164">
        <v>13</v>
      </c>
      <c r="I103" s="165">
        <f t="shared" si="25"/>
        <v>-0.35</v>
      </c>
      <c r="J103" s="164">
        <f t="shared" si="24"/>
        <v>-7</v>
      </c>
      <c r="K103" s="165">
        <f t="shared" si="26"/>
        <v>4.1891538295955342E-6</v>
      </c>
      <c r="L103" s="81"/>
    </row>
    <row r="104" spans="1:12" x14ac:dyDescent="0.25">
      <c r="A104" s="162" t="s">
        <v>150</v>
      </c>
      <c r="B104" s="168" t="s">
        <v>150</v>
      </c>
      <c r="C104" s="169">
        <f t="shared" ref="C104:H104" si="27">C96-SUM(C97:C103)</f>
        <v>885</v>
      </c>
      <c r="D104" s="169">
        <f t="shared" si="27"/>
        <v>1575</v>
      </c>
      <c r="E104" s="169">
        <f t="shared" si="27"/>
        <v>1685</v>
      </c>
      <c r="F104" s="169">
        <f t="shared" si="27"/>
        <v>1708</v>
      </c>
      <c r="G104" s="169">
        <f t="shared" si="27"/>
        <v>2025</v>
      </c>
      <c r="H104" s="169">
        <f t="shared" si="27"/>
        <v>1435</v>
      </c>
      <c r="I104" s="170">
        <f t="shared" si="25"/>
        <v>-0.29135802469135808</v>
      </c>
      <c r="J104" s="169">
        <f>H104-G104</f>
        <v>-590</v>
      </c>
      <c r="K104" s="170">
        <f t="shared" si="26"/>
        <v>4.6241813426689163E-4</v>
      </c>
      <c r="L104" s="81"/>
    </row>
    <row r="105" spans="1:12" s="146" customFormat="1" x14ac:dyDescent="0.25">
      <c r="A105" s="162"/>
      <c r="B105" s="155" t="s">
        <v>52</v>
      </c>
      <c r="C105" s="153"/>
      <c r="D105" s="153"/>
      <c r="E105" s="153"/>
      <c r="F105" s="153"/>
      <c r="G105" s="153"/>
      <c r="H105" s="153"/>
      <c r="I105" s="153"/>
      <c r="J105" s="153"/>
      <c r="K105" s="153"/>
    </row>
    <row r="106" spans="1:12" x14ac:dyDescent="0.25">
      <c r="A106" s="162"/>
      <c r="B106" s="156" t="s">
        <v>73</v>
      </c>
      <c r="C106" s="176">
        <v>75700</v>
      </c>
      <c r="D106" s="176">
        <v>99960</v>
      </c>
      <c r="E106" s="176">
        <v>125973</v>
      </c>
      <c r="F106" s="176">
        <v>138511</v>
      </c>
      <c r="G106" s="176">
        <v>133553</v>
      </c>
      <c r="H106" s="176">
        <v>124585</v>
      </c>
      <c r="I106" s="177">
        <f>IFERROR(H106/G106-1,"-")</f>
        <v>-6.7149371410601066E-2</v>
      </c>
      <c r="J106" s="176">
        <f>H106-G106</f>
        <v>-8968</v>
      </c>
      <c r="K106" s="177">
        <f>H106/H$8</f>
        <v>4.0146594604627661E-2</v>
      </c>
      <c r="L106" s="81"/>
    </row>
    <row r="107" spans="1:12" x14ac:dyDescent="0.25">
      <c r="A107" s="162" t="s">
        <v>101</v>
      </c>
      <c r="B107" s="159" t="s">
        <v>102</v>
      </c>
      <c r="C107" s="160">
        <v>28666</v>
      </c>
      <c r="D107" s="160">
        <v>19252</v>
      </c>
      <c r="E107" s="160">
        <v>27286</v>
      </c>
      <c r="F107" s="160">
        <v>25644</v>
      </c>
      <c r="G107" s="160">
        <v>26879</v>
      </c>
      <c r="H107" s="160">
        <v>23076</v>
      </c>
      <c r="I107" s="161">
        <f>IFERROR(H107/G107-1,"-")</f>
        <v>-0.14148591837493951</v>
      </c>
      <c r="J107" s="160">
        <f t="shared" ref="J107:J117" si="28">H107-G107</f>
        <v>-3803</v>
      </c>
      <c r="K107" s="161">
        <f>H107/H$8</f>
        <v>7.4360702901343492E-3</v>
      </c>
      <c r="L107" s="81"/>
    </row>
    <row r="108" spans="1:12" x14ac:dyDescent="0.25">
      <c r="A108" s="162" t="s">
        <v>108</v>
      </c>
      <c r="B108" s="163" t="s">
        <v>108</v>
      </c>
      <c r="C108" s="164">
        <v>10078</v>
      </c>
      <c r="D108" s="164">
        <v>3159</v>
      </c>
      <c r="E108" s="164">
        <v>7801</v>
      </c>
      <c r="F108" s="164">
        <v>8722</v>
      </c>
      <c r="G108" s="164">
        <v>9770</v>
      </c>
      <c r="H108" s="164">
        <v>12997</v>
      </c>
      <c r="I108" s="165">
        <f>IFERROR(H108/G108-1,"-")</f>
        <v>0.33029682702149432</v>
      </c>
      <c r="J108" s="164">
        <f t="shared" si="28"/>
        <v>3227</v>
      </c>
      <c r="K108" s="165">
        <f>H108/H$8</f>
        <v>4.1881871017887045E-3</v>
      </c>
      <c r="L108" s="81"/>
    </row>
    <row r="109" spans="1:12" x14ac:dyDescent="0.25">
      <c r="A109" s="162" t="s">
        <v>105</v>
      </c>
      <c r="B109" s="163" t="s">
        <v>105</v>
      </c>
      <c r="C109" s="164">
        <v>18588</v>
      </c>
      <c r="D109" s="164">
        <v>16093</v>
      </c>
      <c r="E109" s="164">
        <v>19485</v>
      </c>
      <c r="F109" s="164">
        <v>16922</v>
      </c>
      <c r="G109" s="164">
        <v>17109</v>
      </c>
      <c r="H109" s="164">
        <v>10079</v>
      </c>
      <c r="I109" s="165">
        <f>IFERROR(H109/G109-1,"-")</f>
        <v>-0.41089485066339348</v>
      </c>
      <c r="J109" s="164">
        <f t="shared" si="28"/>
        <v>-7030</v>
      </c>
      <c r="K109" s="165">
        <f>H109/H$8</f>
        <v>3.2478831883456451E-3</v>
      </c>
      <c r="L109" s="81"/>
    </row>
    <row r="110" spans="1:12" x14ac:dyDescent="0.25">
      <c r="A110" s="162"/>
      <c r="B110" s="159" t="s">
        <v>112</v>
      </c>
      <c r="C110" s="160">
        <v>47034</v>
      </c>
      <c r="D110" s="160">
        <v>80708</v>
      </c>
      <c r="E110" s="160">
        <v>98687</v>
      </c>
      <c r="F110" s="160">
        <v>112867</v>
      </c>
      <c r="G110" s="160">
        <v>106674</v>
      </c>
      <c r="H110" s="160">
        <v>101509</v>
      </c>
      <c r="I110" s="161">
        <f>IFERROR(H110/G110-1,"-")</f>
        <v>-4.8418546224947012E-2</v>
      </c>
      <c r="J110" s="160">
        <f t="shared" si="28"/>
        <v>-5165</v>
      </c>
      <c r="K110" s="161">
        <f>H110/H$8</f>
        <v>3.2710524314493311E-2</v>
      </c>
      <c r="L110" s="81"/>
    </row>
    <row r="111" spans="1:12" s="57" customFormat="1" x14ac:dyDescent="0.25">
      <c r="A111" s="162"/>
      <c r="B111" s="163" t="s">
        <v>115</v>
      </c>
      <c r="C111" s="164">
        <v>10333</v>
      </c>
      <c r="D111" s="164">
        <v>46134</v>
      </c>
      <c r="E111" s="164">
        <v>55757</v>
      </c>
      <c r="F111" s="164">
        <v>75808</v>
      </c>
      <c r="G111" s="164">
        <v>68383</v>
      </c>
      <c r="H111" s="164">
        <v>63232</v>
      </c>
      <c r="I111" s="165">
        <f t="shared" ref="I111:I118" si="29">IFERROR(H111/G111-1,"-")</f>
        <v>-7.53257388532238E-2</v>
      </c>
      <c r="J111" s="164">
        <f t="shared" si="28"/>
        <v>-5151</v>
      </c>
      <c r="K111" s="165">
        <f t="shared" ref="K111:K118" si="30">H111/H$8</f>
        <v>2.0376044227152678E-2</v>
      </c>
      <c r="L111" s="166"/>
    </row>
    <row r="112" spans="1:12" s="57" customFormat="1" x14ac:dyDescent="0.25">
      <c r="A112" s="162"/>
      <c r="B112" s="163" t="s">
        <v>118</v>
      </c>
      <c r="C112" s="164">
        <v>5536</v>
      </c>
      <c r="D112" s="164">
        <v>3214</v>
      </c>
      <c r="E112" s="164">
        <v>2579</v>
      </c>
      <c r="F112" s="164">
        <v>3664</v>
      </c>
      <c r="G112" s="164">
        <v>3645</v>
      </c>
      <c r="H112" s="164">
        <v>4021</v>
      </c>
      <c r="I112" s="165">
        <f t="shared" si="29"/>
        <v>0.1031550068587106</v>
      </c>
      <c r="J112" s="164">
        <f t="shared" si="28"/>
        <v>376</v>
      </c>
      <c r="K112" s="165">
        <f t="shared" si="30"/>
        <v>1.2957375037541262E-3</v>
      </c>
      <c r="L112" s="166"/>
    </row>
    <row r="113" spans="1:12" x14ac:dyDescent="0.25">
      <c r="A113" s="162"/>
      <c r="B113" s="163" t="s">
        <v>121</v>
      </c>
      <c r="C113" s="164">
        <v>8515</v>
      </c>
      <c r="D113" s="164">
        <v>3821</v>
      </c>
      <c r="E113" s="164">
        <v>5284</v>
      </c>
      <c r="F113" s="164">
        <v>6802</v>
      </c>
      <c r="G113" s="164">
        <v>7633</v>
      </c>
      <c r="H113" s="164">
        <v>9195</v>
      </c>
      <c r="I113" s="165">
        <f t="shared" si="29"/>
        <v>0.20463775710729726</v>
      </c>
      <c r="J113" s="164">
        <f t="shared" si="28"/>
        <v>1562</v>
      </c>
      <c r="K113" s="165">
        <f t="shared" si="30"/>
        <v>2.9630207279331489E-3</v>
      </c>
      <c r="L113" s="81"/>
    </row>
    <row r="114" spans="1:12" x14ac:dyDescent="0.25">
      <c r="A114" s="162"/>
      <c r="B114" s="163" t="s">
        <v>128</v>
      </c>
      <c r="C114" s="164">
        <v>4008</v>
      </c>
      <c r="D114" s="164">
        <v>2052</v>
      </c>
      <c r="E114" s="164">
        <v>3330</v>
      </c>
      <c r="F114" s="164">
        <v>2447</v>
      </c>
      <c r="G114" s="164">
        <v>4271</v>
      </c>
      <c r="H114" s="164">
        <v>3393</v>
      </c>
      <c r="I114" s="165">
        <f t="shared" si="29"/>
        <v>-0.20557246546476238</v>
      </c>
      <c r="J114" s="164">
        <f t="shared" si="28"/>
        <v>-878</v>
      </c>
      <c r="K114" s="165">
        <f t="shared" si="30"/>
        <v>1.0933691495244344E-3</v>
      </c>
      <c r="L114" s="81"/>
    </row>
    <row r="115" spans="1:12" x14ac:dyDescent="0.25">
      <c r="A115" s="162"/>
      <c r="B115" s="163" t="s">
        <v>124</v>
      </c>
      <c r="C115" s="164">
        <v>6248</v>
      </c>
      <c r="D115" s="164">
        <v>5024</v>
      </c>
      <c r="E115" s="164">
        <v>11773</v>
      </c>
      <c r="F115" s="164">
        <v>2649</v>
      </c>
      <c r="G115" s="164">
        <v>4169</v>
      </c>
      <c r="H115" s="164">
        <v>2043</v>
      </c>
      <c r="I115" s="165">
        <f t="shared" si="29"/>
        <v>-0.50995442552170789</v>
      </c>
      <c r="J115" s="164">
        <f t="shared" si="28"/>
        <v>-2126</v>
      </c>
      <c r="K115" s="165">
        <f t="shared" si="30"/>
        <v>6.5834163645105202E-4</v>
      </c>
      <c r="L115" s="81"/>
    </row>
    <row r="116" spans="1:12" x14ac:dyDescent="0.25">
      <c r="A116" s="162"/>
      <c r="B116" s="163" t="s">
        <v>133</v>
      </c>
      <c r="C116" s="164">
        <v>224</v>
      </c>
      <c r="D116" s="164">
        <v>183</v>
      </c>
      <c r="E116" s="164">
        <v>1581</v>
      </c>
      <c r="F116" s="164">
        <v>207</v>
      </c>
      <c r="G116" s="164">
        <v>326</v>
      </c>
      <c r="H116" s="164">
        <v>742</v>
      </c>
      <c r="I116" s="165">
        <f t="shared" si="29"/>
        <v>1.276073619631902</v>
      </c>
      <c r="J116" s="164">
        <f t="shared" si="28"/>
        <v>416</v>
      </c>
      <c r="K116" s="165">
        <f t="shared" si="30"/>
        <v>2.3910401088922203E-4</v>
      </c>
      <c r="L116" s="81"/>
    </row>
    <row r="117" spans="1:12" x14ac:dyDescent="0.25">
      <c r="A117" s="162" t="s">
        <v>149</v>
      </c>
      <c r="B117" s="163" t="s">
        <v>136</v>
      </c>
      <c r="C117" s="164">
        <v>1</v>
      </c>
      <c r="D117" s="164">
        <v>26</v>
      </c>
      <c r="E117" s="164">
        <v>81</v>
      </c>
      <c r="F117" s="164">
        <v>384</v>
      </c>
      <c r="G117" s="164">
        <v>102</v>
      </c>
      <c r="H117" s="164">
        <v>326</v>
      </c>
      <c r="I117" s="165">
        <f t="shared" si="29"/>
        <v>2.1960784313725492</v>
      </c>
      <c r="J117" s="164">
        <f t="shared" si="28"/>
        <v>224</v>
      </c>
      <c r="K117" s="165">
        <f t="shared" si="30"/>
        <v>1.0505108834216493E-4</v>
      </c>
      <c r="L117" s="81"/>
    </row>
    <row r="118" spans="1:12" x14ac:dyDescent="0.25">
      <c r="A118" s="162" t="s">
        <v>150</v>
      </c>
      <c r="B118" s="168" t="s">
        <v>150</v>
      </c>
      <c r="C118" s="169">
        <f t="shared" ref="C118:H118" si="31">C110-SUM(C111:C117)</f>
        <v>12169</v>
      </c>
      <c r="D118" s="169">
        <f t="shared" si="31"/>
        <v>20254</v>
      </c>
      <c r="E118" s="169">
        <f t="shared" si="31"/>
        <v>18302</v>
      </c>
      <c r="F118" s="169">
        <f t="shared" si="31"/>
        <v>20906</v>
      </c>
      <c r="G118" s="169">
        <f t="shared" si="31"/>
        <v>18145</v>
      </c>
      <c r="H118" s="169">
        <f t="shared" si="31"/>
        <v>18557</v>
      </c>
      <c r="I118" s="170">
        <f t="shared" si="29"/>
        <v>2.2705979608707683E-2</v>
      </c>
      <c r="J118" s="169">
        <f>H118-G118</f>
        <v>412</v>
      </c>
      <c r="K118" s="170">
        <f t="shared" si="30"/>
        <v>5.9798559704464863E-3</v>
      </c>
      <c r="L118" s="81"/>
    </row>
    <row r="119" spans="1:12" s="146" customFormat="1" x14ac:dyDescent="0.25">
      <c r="A119" s="162"/>
      <c r="B119" s="155" t="s">
        <v>53</v>
      </c>
      <c r="C119" s="153"/>
      <c r="D119" s="153"/>
      <c r="E119" s="153"/>
      <c r="F119" s="153"/>
      <c r="G119" s="153"/>
      <c r="H119" s="153"/>
      <c r="I119" s="153"/>
      <c r="J119" s="153"/>
      <c r="K119" s="153"/>
    </row>
    <row r="120" spans="1:12" x14ac:dyDescent="0.25">
      <c r="A120" s="162"/>
      <c r="B120" s="156" t="s">
        <v>73</v>
      </c>
      <c r="C120" s="176">
        <v>31224</v>
      </c>
      <c r="D120" s="176">
        <v>43286</v>
      </c>
      <c r="E120" s="176">
        <v>41786</v>
      </c>
      <c r="F120" s="176">
        <v>45242</v>
      </c>
      <c r="G120" s="176">
        <v>49837</v>
      </c>
      <c r="H120" s="176">
        <v>47307</v>
      </c>
      <c r="I120" s="177">
        <f>IFERROR(H120/G120-1,"-")</f>
        <v>-5.0765495515380121E-2</v>
      </c>
      <c r="J120" s="176">
        <f>H120-G120</f>
        <v>-2530</v>
      </c>
      <c r="K120" s="177">
        <f>H120/H$8</f>
        <v>1.5244330785898147E-2</v>
      </c>
      <c r="L120" s="81"/>
    </row>
    <row r="121" spans="1:12" x14ac:dyDescent="0.25">
      <c r="A121" s="162" t="s">
        <v>101</v>
      </c>
      <c r="B121" s="159" t="s">
        <v>102</v>
      </c>
      <c r="C121" s="160">
        <v>20547</v>
      </c>
      <c r="D121" s="160">
        <v>25584</v>
      </c>
      <c r="E121" s="160">
        <v>26051</v>
      </c>
      <c r="F121" s="160">
        <v>30089</v>
      </c>
      <c r="G121" s="160">
        <v>32508</v>
      </c>
      <c r="H121" s="160">
        <v>31754</v>
      </c>
      <c r="I121" s="161">
        <f>IFERROR(H121/G121-1,"-")</f>
        <v>-2.3194290636151083E-2</v>
      </c>
      <c r="J121" s="160">
        <f t="shared" ref="J121:J131" si="32">H121-G121</f>
        <v>-754</v>
      </c>
      <c r="K121" s="161">
        <f>H121/H$8</f>
        <v>1.0232491592690506E-2</v>
      </c>
      <c r="L121" s="81"/>
    </row>
    <row r="122" spans="1:12" x14ac:dyDescent="0.25">
      <c r="A122" s="162" t="s">
        <v>108</v>
      </c>
      <c r="B122" s="163" t="s">
        <v>108</v>
      </c>
      <c r="C122" s="164">
        <v>8691</v>
      </c>
      <c r="D122" s="164">
        <v>13253</v>
      </c>
      <c r="E122" s="164">
        <v>9828</v>
      </c>
      <c r="F122" s="164">
        <v>17033</v>
      </c>
      <c r="G122" s="164">
        <v>18427</v>
      </c>
      <c r="H122" s="164">
        <v>19710</v>
      </c>
      <c r="I122" s="165">
        <f>IFERROR(H122/G122-1,"-")</f>
        <v>6.9626092147392349E-2</v>
      </c>
      <c r="J122" s="164">
        <f t="shared" si="32"/>
        <v>1283</v>
      </c>
      <c r="K122" s="165">
        <f>H122/H$8</f>
        <v>6.3514016908713822E-3</v>
      </c>
      <c r="L122" s="81"/>
    </row>
    <row r="123" spans="1:12" x14ac:dyDescent="0.25">
      <c r="A123" s="162" t="s">
        <v>105</v>
      </c>
      <c r="B123" s="163" t="s">
        <v>105</v>
      </c>
      <c r="C123" s="164">
        <v>11856</v>
      </c>
      <c r="D123" s="164">
        <v>12331</v>
      </c>
      <c r="E123" s="164">
        <v>16223</v>
      </c>
      <c r="F123" s="164">
        <v>13056</v>
      </c>
      <c r="G123" s="164">
        <v>14081</v>
      </c>
      <c r="H123" s="164">
        <v>12044</v>
      </c>
      <c r="I123" s="165">
        <f>IFERROR(H123/G123-1,"-")</f>
        <v>-0.14466302109225193</v>
      </c>
      <c r="J123" s="164">
        <f t="shared" si="32"/>
        <v>-2037</v>
      </c>
      <c r="K123" s="165">
        <f>H123/H$8</f>
        <v>3.881089901819124E-3</v>
      </c>
      <c r="L123" s="81"/>
    </row>
    <row r="124" spans="1:12" x14ac:dyDescent="0.25">
      <c r="A124" s="162"/>
      <c r="B124" s="159" t="s">
        <v>112</v>
      </c>
      <c r="C124" s="160">
        <v>10677</v>
      </c>
      <c r="D124" s="160">
        <v>17702</v>
      </c>
      <c r="E124" s="160">
        <v>15735</v>
      </c>
      <c r="F124" s="160">
        <v>15153</v>
      </c>
      <c r="G124" s="160">
        <v>17329</v>
      </c>
      <c r="H124" s="160">
        <v>15553</v>
      </c>
      <c r="I124" s="161">
        <f>IFERROR(H124/G124-1,"-")</f>
        <v>-0.10248716025160132</v>
      </c>
      <c r="J124" s="160">
        <f t="shared" si="32"/>
        <v>-1776</v>
      </c>
      <c r="K124" s="161">
        <f>H124/H$8</f>
        <v>5.0118391932076414E-3</v>
      </c>
      <c r="L124" s="81"/>
    </row>
    <row r="125" spans="1:12" s="57" customFormat="1" x14ac:dyDescent="0.25">
      <c r="A125" s="162"/>
      <c r="B125" s="163" t="s">
        <v>115</v>
      </c>
      <c r="C125" s="164">
        <v>433</v>
      </c>
      <c r="D125" s="164">
        <v>2896</v>
      </c>
      <c r="E125" s="164">
        <v>1983</v>
      </c>
      <c r="F125" s="164">
        <v>1886</v>
      </c>
      <c r="G125" s="164">
        <v>1824</v>
      </c>
      <c r="H125" s="164">
        <v>1744</v>
      </c>
      <c r="I125" s="165">
        <f t="shared" ref="I125:I132" si="33">IFERROR(H125/G125-1,"-")</f>
        <v>-4.3859649122807043E-2</v>
      </c>
      <c r="J125" s="164">
        <f t="shared" si="32"/>
        <v>-80</v>
      </c>
      <c r="K125" s="165">
        <f t="shared" ref="K125:K132" si="34">H125/H$8</f>
        <v>5.6199109837035469E-4</v>
      </c>
      <c r="L125" s="166"/>
    </row>
    <row r="126" spans="1:12" s="57" customFormat="1" x14ac:dyDescent="0.25">
      <c r="A126" s="162"/>
      <c r="B126" s="163" t="s">
        <v>118</v>
      </c>
      <c r="C126" s="164">
        <v>1279</v>
      </c>
      <c r="D126" s="164">
        <v>2041</v>
      </c>
      <c r="E126" s="164">
        <v>1899</v>
      </c>
      <c r="F126" s="164">
        <v>1547</v>
      </c>
      <c r="G126" s="164">
        <v>1778</v>
      </c>
      <c r="H126" s="164">
        <v>1365</v>
      </c>
      <c r="I126" s="165">
        <f t="shared" si="33"/>
        <v>-0.23228346456692917</v>
      </c>
      <c r="J126" s="164">
        <f t="shared" si="32"/>
        <v>-413</v>
      </c>
      <c r="K126" s="165">
        <f t="shared" si="34"/>
        <v>4.3986115210753105E-4</v>
      </c>
      <c r="L126" s="166"/>
    </row>
    <row r="127" spans="1:12" x14ac:dyDescent="0.25">
      <c r="A127" s="162"/>
      <c r="B127" s="163" t="s">
        <v>121</v>
      </c>
      <c r="C127" s="164">
        <v>1461</v>
      </c>
      <c r="D127" s="164">
        <v>1231</v>
      </c>
      <c r="E127" s="164">
        <v>1572</v>
      </c>
      <c r="F127" s="164">
        <v>1293</v>
      </c>
      <c r="G127" s="164">
        <v>2132</v>
      </c>
      <c r="H127" s="164">
        <v>2189</v>
      </c>
      <c r="I127" s="165">
        <f t="shared" si="33"/>
        <v>2.6735459662288852E-2</v>
      </c>
      <c r="J127" s="164">
        <f t="shared" si="32"/>
        <v>57</v>
      </c>
      <c r="K127" s="165">
        <f t="shared" si="34"/>
        <v>7.053890563834326E-4</v>
      </c>
      <c r="L127" s="81"/>
    </row>
    <row r="128" spans="1:12" x14ac:dyDescent="0.25">
      <c r="A128" s="162"/>
      <c r="B128" s="163" t="s">
        <v>128</v>
      </c>
      <c r="C128" s="164">
        <v>428</v>
      </c>
      <c r="D128" s="164">
        <v>244</v>
      </c>
      <c r="E128" s="164">
        <v>595</v>
      </c>
      <c r="F128" s="164">
        <v>431</v>
      </c>
      <c r="G128" s="164">
        <v>835</v>
      </c>
      <c r="H128" s="164">
        <v>745</v>
      </c>
      <c r="I128" s="165">
        <f t="shared" si="33"/>
        <v>-0.10778443113772451</v>
      </c>
      <c r="J128" s="164">
        <f t="shared" si="32"/>
        <v>-90</v>
      </c>
      <c r="K128" s="165">
        <f t="shared" si="34"/>
        <v>2.4007073869605175E-4</v>
      </c>
      <c r="L128" s="81"/>
    </row>
    <row r="129" spans="1:12" x14ac:dyDescent="0.25">
      <c r="A129" s="162"/>
      <c r="B129" s="163" t="s">
        <v>124</v>
      </c>
      <c r="C129" s="164">
        <v>213</v>
      </c>
      <c r="D129" s="164">
        <v>406</v>
      </c>
      <c r="E129" s="164">
        <v>396</v>
      </c>
      <c r="F129" s="164">
        <v>325</v>
      </c>
      <c r="G129" s="164">
        <v>634</v>
      </c>
      <c r="H129" s="164">
        <v>483</v>
      </c>
      <c r="I129" s="165">
        <f t="shared" si="33"/>
        <v>-0.23817034700315454</v>
      </c>
      <c r="J129" s="164">
        <f t="shared" si="32"/>
        <v>-151</v>
      </c>
      <c r="K129" s="165">
        <f t="shared" si="34"/>
        <v>1.5564317689958793E-4</v>
      </c>
      <c r="L129" s="81"/>
    </row>
    <row r="130" spans="1:12" x14ac:dyDescent="0.25">
      <c r="A130" s="162"/>
      <c r="B130" s="163" t="s">
        <v>133</v>
      </c>
      <c r="C130" s="164">
        <v>109</v>
      </c>
      <c r="D130" s="164">
        <v>118</v>
      </c>
      <c r="E130" s="164">
        <v>146</v>
      </c>
      <c r="F130" s="164">
        <v>319</v>
      </c>
      <c r="G130" s="164">
        <v>102</v>
      </c>
      <c r="H130" s="164">
        <v>21</v>
      </c>
      <c r="I130" s="165">
        <f t="shared" si="33"/>
        <v>-0.79411764705882359</v>
      </c>
      <c r="J130" s="164">
        <f t="shared" si="32"/>
        <v>-81</v>
      </c>
      <c r="K130" s="165">
        <f t="shared" si="34"/>
        <v>6.7670946478081699E-6</v>
      </c>
      <c r="L130" s="81"/>
    </row>
    <row r="131" spans="1:12" x14ac:dyDescent="0.25">
      <c r="A131" s="162" t="s">
        <v>149</v>
      </c>
      <c r="B131" s="163" t="s">
        <v>136</v>
      </c>
      <c r="C131" s="164">
        <v>94</v>
      </c>
      <c r="D131" s="164">
        <v>64</v>
      </c>
      <c r="E131" s="164">
        <v>141</v>
      </c>
      <c r="F131" s="164">
        <v>175</v>
      </c>
      <c r="G131" s="164">
        <v>197</v>
      </c>
      <c r="H131" s="164">
        <v>180</v>
      </c>
      <c r="I131" s="165">
        <f t="shared" si="33"/>
        <v>-8.6294416243654859E-2</v>
      </c>
      <c r="J131" s="164">
        <f t="shared" si="32"/>
        <v>-17</v>
      </c>
      <c r="K131" s="165">
        <f t="shared" si="34"/>
        <v>5.8003668409784315E-5</v>
      </c>
      <c r="L131" s="81"/>
    </row>
    <row r="132" spans="1:12" x14ac:dyDescent="0.25">
      <c r="A132" s="162" t="s">
        <v>150</v>
      </c>
      <c r="B132" s="168" t="s">
        <v>150</v>
      </c>
      <c r="C132" s="169">
        <f t="shared" ref="C132:H132" si="35">C124-SUM(C125:C131)</f>
        <v>6660</v>
      </c>
      <c r="D132" s="169">
        <f t="shared" si="35"/>
        <v>10702</v>
      </c>
      <c r="E132" s="169">
        <f t="shared" si="35"/>
        <v>9003</v>
      </c>
      <c r="F132" s="169">
        <f t="shared" si="35"/>
        <v>9177</v>
      </c>
      <c r="G132" s="169">
        <f t="shared" si="35"/>
        <v>9827</v>
      </c>
      <c r="H132" s="169">
        <f t="shared" si="35"/>
        <v>8826</v>
      </c>
      <c r="I132" s="170">
        <f t="shared" si="33"/>
        <v>-0.10186221634272918</v>
      </c>
      <c r="J132" s="169">
        <f>H132-G132</f>
        <v>-1001</v>
      </c>
      <c r="K132" s="170">
        <f t="shared" si="34"/>
        <v>2.8441132076930911E-3</v>
      </c>
      <c r="L132" s="81"/>
    </row>
    <row r="133" spans="1:12" s="146" customFormat="1" x14ac:dyDescent="0.25">
      <c r="A133" s="162"/>
      <c r="B133" s="155" t="s">
        <v>54</v>
      </c>
      <c r="C133" s="153"/>
      <c r="D133" s="153"/>
      <c r="E133" s="153"/>
      <c r="F133" s="153"/>
      <c r="G133" s="153"/>
      <c r="H133" s="153"/>
      <c r="I133" s="153"/>
      <c r="J133" s="153"/>
      <c r="K133" s="153"/>
    </row>
    <row r="134" spans="1:12" x14ac:dyDescent="0.25">
      <c r="A134" s="162"/>
      <c r="B134" s="156" t="s">
        <v>73</v>
      </c>
      <c r="C134" s="176">
        <v>61086</v>
      </c>
      <c r="D134" s="176">
        <v>159520</v>
      </c>
      <c r="E134" s="176">
        <v>176921</v>
      </c>
      <c r="F134" s="176">
        <v>173767</v>
      </c>
      <c r="G134" s="176">
        <v>187387</v>
      </c>
      <c r="H134" s="176">
        <v>182476</v>
      </c>
      <c r="I134" s="177">
        <f>IFERROR(H134/G134-1,"-")</f>
        <v>-2.6207794564190645E-2</v>
      </c>
      <c r="J134" s="176">
        <f>H134-G134</f>
        <v>-4911</v>
      </c>
      <c r="K134" s="177">
        <f>H134/H$8</f>
        <v>5.8801541093021124E-2</v>
      </c>
      <c r="L134" s="81"/>
    </row>
    <row r="135" spans="1:12" x14ac:dyDescent="0.25">
      <c r="A135" s="162" t="s">
        <v>101</v>
      </c>
      <c r="B135" s="159" t="s">
        <v>102</v>
      </c>
      <c r="C135" s="160">
        <v>18335</v>
      </c>
      <c r="D135" s="160">
        <v>16871</v>
      </c>
      <c r="E135" s="160">
        <v>23991</v>
      </c>
      <c r="F135" s="160">
        <v>15147</v>
      </c>
      <c r="G135" s="160">
        <v>20797</v>
      </c>
      <c r="H135" s="160">
        <v>19531</v>
      </c>
      <c r="I135" s="161">
        <f>IFERROR(H135/G135-1,"-")</f>
        <v>-6.0874164542962905E-2</v>
      </c>
      <c r="J135" s="160">
        <f t="shared" ref="J135:J145" si="36">H135-G135</f>
        <v>-1266</v>
      </c>
      <c r="K135" s="161">
        <f>H135/H$8</f>
        <v>6.2937202650638745E-3</v>
      </c>
      <c r="L135" s="81"/>
    </row>
    <row r="136" spans="1:12" x14ac:dyDescent="0.25">
      <c r="A136" s="162" t="s">
        <v>108</v>
      </c>
      <c r="B136" s="163" t="s">
        <v>108</v>
      </c>
      <c r="C136" s="164">
        <v>6972</v>
      </c>
      <c r="D136" s="164">
        <v>8428</v>
      </c>
      <c r="E136" s="164">
        <v>15691</v>
      </c>
      <c r="F136" s="164">
        <v>7798</v>
      </c>
      <c r="G136" s="164">
        <v>11890</v>
      </c>
      <c r="H136" s="164">
        <v>9514</v>
      </c>
      <c r="I136" s="165">
        <f>IFERROR(H136/G136-1,"-")</f>
        <v>-0.19983179142136254</v>
      </c>
      <c r="J136" s="164">
        <f t="shared" si="36"/>
        <v>-2376</v>
      </c>
      <c r="K136" s="165">
        <f>H136/H$8</f>
        <v>3.0658161180593777E-3</v>
      </c>
      <c r="L136" s="81"/>
    </row>
    <row r="137" spans="1:12" x14ac:dyDescent="0.25">
      <c r="A137" s="162" t="s">
        <v>105</v>
      </c>
      <c r="B137" s="163" t="s">
        <v>105</v>
      </c>
      <c r="C137" s="164">
        <v>11363</v>
      </c>
      <c r="D137" s="164">
        <v>8443</v>
      </c>
      <c r="E137" s="164">
        <v>8300</v>
      </c>
      <c r="F137" s="164">
        <v>7349</v>
      </c>
      <c r="G137" s="164">
        <v>8907</v>
      </c>
      <c r="H137" s="164">
        <v>10017</v>
      </c>
      <c r="I137" s="165">
        <f>IFERROR(H137/G137-1,"-")</f>
        <v>0.12462108454024934</v>
      </c>
      <c r="J137" s="164">
        <f t="shared" si="36"/>
        <v>1110</v>
      </c>
      <c r="K137" s="165">
        <f>H137/H$8</f>
        <v>3.2279041470044973E-3</v>
      </c>
      <c r="L137" s="81"/>
    </row>
    <row r="138" spans="1:12" x14ac:dyDescent="0.25">
      <c r="A138" s="162"/>
      <c r="B138" s="159" t="s">
        <v>112</v>
      </c>
      <c r="C138" s="160">
        <v>42751</v>
      </c>
      <c r="D138" s="160">
        <v>142649</v>
      </c>
      <c r="E138" s="160">
        <v>152930</v>
      </c>
      <c r="F138" s="160">
        <v>158620</v>
      </c>
      <c r="G138" s="160">
        <v>166590</v>
      </c>
      <c r="H138" s="160">
        <v>162945</v>
      </c>
      <c r="I138" s="161">
        <f>IFERROR(H138/G138-1,"-")</f>
        <v>-2.1880064829821744E-2</v>
      </c>
      <c r="J138" s="160">
        <f t="shared" si="36"/>
        <v>-3645</v>
      </c>
      <c r="K138" s="161">
        <f>H138/H$8</f>
        <v>5.2507820827957255E-2</v>
      </c>
      <c r="L138" s="81"/>
    </row>
    <row r="139" spans="1:12" s="57" customFormat="1" x14ac:dyDescent="0.25">
      <c r="A139" s="162"/>
      <c r="B139" s="163" t="s">
        <v>115</v>
      </c>
      <c r="C139" s="164">
        <v>4225</v>
      </c>
      <c r="D139" s="164">
        <v>64510</v>
      </c>
      <c r="E139" s="164">
        <v>69784</v>
      </c>
      <c r="F139" s="164">
        <v>76495</v>
      </c>
      <c r="G139" s="164">
        <v>80250</v>
      </c>
      <c r="H139" s="164">
        <v>77947</v>
      </c>
      <c r="I139" s="165">
        <f t="shared" ref="I139:I146" si="37">IFERROR(H139/G139-1,"-")</f>
        <v>-2.869781931464177E-2</v>
      </c>
      <c r="J139" s="164">
        <f t="shared" si="36"/>
        <v>-2303</v>
      </c>
      <c r="K139" s="165">
        <f t="shared" ref="K139:K146" si="38">H139/H$8</f>
        <v>2.5117844119652545E-2</v>
      </c>
      <c r="L139" s="166"/>
    </row>
    <row r="140" spans="1:12" s="57" customFormat="1" x14ac:dyDescent="0.25">
      <c r="A140" s="162"/>
      <c r="B140" s="163" t="s">
        <v>118</v>
      </c>
      <c r="C140" s="164">
        <v>4992</v>
      </c>
      <c r="D140" s="164">
        <v>9290</v>
      </c>
      <c r="E140" s="164">
        <v>14285</v>
      </c>
      <c r="F140" s="164">
        <v>11369</v>
      </c>
      <c r="G140" s="164">
        <v>15851</v>
      </c>
      <c r="H140" s="164">
        <v>13634</v>
      </c>
      <c r="I140" s="165">
        <f t="shared" si="37"/>
        <v>-0.13986499274493724</v>
      </c>
      <c r="J140" s="164">
        <f t="shared" si="36"/>
        <v>-2217</v>
      </c>
      <c r="K140" s="165">
        <f t="shared" si="38"/>
        <v>4.3934556394388856E-3</v>
      </c>
      <c r="L140" s="166"/>
    </row>
    <row r="141" spans="1:12" x14ac:dyDescent="0.25">
      <c r="A141" s="162"/>
      <c r="B141" s="163" t="s">
        <v>121</v>
      </c>
      <c r="C141" s="164">
        <v>7315</v>
      </c>
      <c r="D141" s="164">
        <v>15174</v>
      </c>
      <c r="E141" s="164">
        <v>13479</v>
      </c>
      <c r="F141" s="164">
        <v>14161</v>
      </c>
      <c r="G141" s="164">
        <v>15027</v>
      </c>
      <c r="H141" s="164">
        <v>15851</v>
      </c>
      <c r="I141" s="165">
        <f t="shared" si="37"/>
        <v>5.4834630997537825E-2</v>
      </c>
      <c r="J141" s="164">
        <f t="shared" si="36"/>
        <v>824</v>
      </c>
      <c r="K141" s="165">
        <f t="shared" si="38"/>
        <v>5.1078674886860624E-3</v>
      </c>
      <c r="L141" s="81"/>
    </row>
    <row r="142" spans="1:12" x14ac:dyDescent="0.25">
      <c r="A142" s="162"/>
      <c r="B142" s="163" t="s">
        <v>128</v>
      </c>
      <c r="C142" s="164">
        <v>768</v>
      </c>
      <c r="D142" s="164">
        <v>6948</v>
      </c>
      <c r="E142" s="164">
        <v>9073</v>
      </c>
      <c r="F142" s="164">
        <v>5284</v>
      </c>
      <c r="G142" s="164">
        <v>5938</v>
      </c>
      <c r="H142" s="164">
        <v>3685</v>
      </c>
      <c r="I142" s="165">
        <f t="shared" si="37"/>
        <v>-0.37942068036375887</v>
      </c>
      <c r="J142" s="164">
        <f t="shared" si="36"/>
        <v>-2253</v>
      </c>
      <c r="K142" s="165">
        <f t="shared" si="38"/>
        <v>1.1874639893891955E-3</v>
      </c>
      <c r="L142" s="81"/>
    </row>
    <row r="143" spans="1:12" x14ac:dyDescent="0.25">
      <c r="A143" s="162"/>
      <c r="B143" s="163" t="s">
        <v>124</v>
      </c>
      <c r="C143" s="164">
        <v>1857</v>
      </c>
      <c r="D143" s="164">
        <v>4163</v>
      </c>
      <c r="E143" s="164">
        <v>4699</v>
      </c>
      <c r="F143" s="164">
        <v>4658</v>
      </c>
      <c r="G143" s="164">
        <v>4292</v>
      </c>
      <c r="H143" s="164">
        <v>4952</v>
      </c>
      <c r="I143" s="165">
        <f t="shared" si="37"/>
        <v>0.15377446411929174</v>
      </c>
      <c r="J143" s="164">
        <f t="shared" si="36"/>
        <v>660</v>
      </c>
      <c r="K143" s="165">
        <f t="shared" si="38"/>
        <v>1.5957453664736218E-3</v>
      </c>
      <c r="L143" s="81"/>
    </row>
    <row r="144" spans="1:12" x14ac:dyDescent="0.25">
      <c r="A144" s="162"/>
      <c r="B144" s="163" t="s">
        <v>133</v>
      </c>
      <c r="C144" s="164">
        <v>222</v>
      </c>
      <c r="D144" s="164">
        <v>683</v>
      </c>
      <c r="E144" s="164">
        <v>55</v>
      </c>
      <c r="F144" s="164">
        <v>144</v>
      </c>
      <c r="G144" s="164">
        <v>513</v>
      </c>
      <c r="H144" s="164">
        <v>323</v>
      </c>
      <c r="I144" s="165">
        <f t="shared" si="37"/>
        <v>-0.37037037037037035</v>
      </c>
      <c r="J144" s="164">
        <f t="shared" si="36"/>
        <v>-190</v>
      </c>
      <c r="K144" s="165">
        <f t="shared" si="38"/>
        <v>1.0408436053533519E-4</v>
      </c>
      <c r="L144" s="81"/>
    </row>
    <row r="145" spans="1:12" x14ac:dyDescent="0.25">
      <c r="A145" s="162" t="s">
        <v>149</v>
      </c>
      <c r="B145" s="163" t="s">
        <v>136</v>
      </c>
      <c r="C145" s="164">
        <v>24</v>
      </c>
      <c r="D145" s="164">
        <v>101</v>
      </c>
      <c r="E145" s="164">
        <v>126</v>
      </c>
      <c r="F145" s="164">
        <v>146</v>
      </c>
      <c r="G145" s="164">
        <v>161</v>
      </c>
      <c r="H145" s="164">
        <v>60</v>
      </c>
      <c r="I145" s="165">
        <f t="shared" si="37"/>
        <v>-0.62732919254658381</v>
      </c>
      <c r="J145" s="164">
        <f t="shared" si="36"/>
        <v>-101</v>
      </c>
      <c r="K145" s="165">
        <f t="shared" si="38"/>
        <v>1.9334556136594772E-5</v>
      </c>
      <c r="L145" s="81"/>
    </row>
    <row r="146" spans="1:12" x14ac:dyDescent="0.25">
      <c r="A146" s="162" t="s">
        <v>150</v>
      </c>
      <c r="B146" s="168" t="s">
        <v>150</v>
      </c>
      <c r="C146" s="169">
        <f t="shared" ref="C146:H146" si="39">C138-SUM(C139:C145)</f>
        <v>23348</v>
      </c>
      <c r="D146" s="169">
        <f t="shared" si="39"/>
        <v>41780</v>
      </c>
      <c r="E146" s="169">
        <f t="shared" si="39"/>
        <v>41429</v>
      </c>
      <c r="F146" s="169">
        <f t="shared" si="39"/>
        <v>46363</v>
      </c>
      <c r="G146" s="169">
        <f t="shared" si="39"/>
        <v>44558</v>
      </c>
      <c r="H146" s="169">
        <f t="shared" si="39"/>
        <v>46493</v>
      </c>
      <c r="I146" s="170">
        <f t="shared" si="37"/>
        <v>4.3426545177072562E-2</v>
      </c>
      <c r="J146" s="169">
        <f>H146-G146</f>
        <v>1935</v>
      </c>
      <c r="K146" s="170">
        <f t="shared" si="38"/>
        <v>1.4982025307645013E-2</v>
      </c>
      <c r="L146" s="81"/>
    </row>
    <row r="147" spans="1:12" s="146" customFormat="1" x14ac:dyDescent="0.25">
      <c r="A147" s="162"/>
      <c r="B147" s="155" t="s">
        <v>55</v>
      </c>
      <c r="C147" s="153"/>
      <c r="D147" s="153"/>
      <c r="E147" s="153"/>
      <c r="F147" s="153"/>
      <c r="G147" s="153"/>
      <c r="H147" s="153"/>
      <c r="I147" s="153"/>
      <c r="J147" s="153"/>
      <c r="K147" s="153"/>
    </row>
    <row r="148" spans="1:12" x14ac:dyDescent="0.25">
      <c r="A148" s="162"/>
      <c r="B148" s="156" t="s">
        <v>73</v>
      </c>
      <c r="C148" s="176">
        <v>21369</v>
      </c>
      <c r="D148" s="176">
        <v>47872</v>
      </c>
      <c r="E148" s="176">
        <v>57721</v>
      </c>
      <c r="F148" s="176">
        <v>62500</v>
      </c>
      <c r="G148" s="176">
        <v>55826</v>
      </c>
      <c r="H148" s="176">
        <v>46031</v>
      </c>
      <c r="I148" s="177">
        <f>IFERROR(H148/G148-1,"-")</f>
        <v>-0.17545588077239993</v>
      </c>
      <c r="J148" s="176">
        <f>H148-G148</f>
        <v>-9795</v>
      </c>
      <c r="K148" s="177">
        <f>H148/H$8</f>
        <v>1.4833149225393232E-2</v>
      </c>
      <c r="L148" s="81"/>
    </row>
    <row r="149" spans="1:12" x14ac:dyDescent="0.25">
      <c r="A149" s="162" t="s">
        <v>101</v>
      </c>
      <c r="B149" s="159" t="s">
        <v>102</v>
      </c>
      <c r="C149" s="160">
        <v>9652</v>
      </c>
      <c r="D149" s="160">
        <v>20521</v>
      </c>
      <c r="E149" s="160">
        <v>26382</v>
      </c>
      <c r="F149" s="160">
        <v>29235</v>
      </c>
      <c r="G149" s="160">
        <v>20992</v>
      </c>
      <c r="H149" s="160">
        <v>16042</v>
      </c>
      <c r="I149" s="161">
        <f>IFERROR(H149/G149-1,"-")</f>
        <v>-0.23580411585365857</v>
      </c>
      <c r="J149" s="160">
        <f t="shared" ref="J149:J159" si="40">H149-G149</f>
        <v>-4950</v>
      </c>
      <c r="K149" s="161">
        <f>H149/H$8</f>
        <v>5.1694158257208894E-3</v>
      </c>
      <c r="L149" s="81"/>
    </row>
    <row r="150" spans="1:12" x14ac:dyDescent="0.25">
      <c r="A150" s="162" t="s">
        <v>108</v>
      </c>
      <c r="B150" s="163" t="s">
        <v>108</v>
      </c>
      <c r="C150" s="164">
        <v>5766</v>
      </c>
      <c r="D150" s="164">
        <v>14285</v>
      </c>
      <c r="E150" s="164">
        <v>20056</v>
      </c>
      <c r="F150" s="164">
        <v>21646</v>
      </c>
      <c r="G150" s="164">
        <v>11752</v>
      </c>
      <c r="H150" s="164">
        <v>4357</v>
      </c>
      <c r="I150" s="165">
        <f>IFERROR(H150/G150-1,"-")</f>
        <v>-0.62925459496255964</v>
      </c>
      <c r="J150" s="164">
        <f t="shared" si="40"/>
        <v>-7395</v>
      </c>
      <c r="K150" s="165">
        <f>H150/H$8</f>
        <v>1.404011018119057E-3</v>
      </c>
      <c r="L150" s="81"/>
    </row>
    <row r="151" spans="1:12" x14ac:dyDescent="0.25">
      <c r="A151" s="162" t="s">
        <v>105</v>
      </c>
      <c r="B151" s="163" t="s">
        <v>105</v>
      </c>
      <c r="C151" s="164">
        <v>3886</v>
      </c>
      <c r="D151" s="164">
        <v>6236</v>
      </c>
      <c r="E151" s="164">
        <v>6326</v>
      </c>
      <c r="F151" s="164">
        <v>7589</v>
      </c>
      <c r="G151" s="164">
        <v>9240</v>
      </c>
      <c r="H151" s="164">
        <v>11685</v>
      </c>
      <c r="I151" s="165">
        <f>IFERROR(H151/G151-1,"-")</f>
        <v>0.26461038961038952</v>
      </c>
      <c r="J151" s="164">
        <f t="shared" si="40"/>
        <v>2445</v>
      </c>
      <c r="K151" s="165">
        <f>H151/H$8</f>
        <v>3.7654048076018317E-3</v>
      </c>
      <c r="L151" s="81"/>
    </row>
    <row r="152" spans="1:12" x14ac:dyDescent="0.25">
      <c r="A152" s="162"/>
      <c r="B152" s="159" t="s">
        <v>112</v>
      </c>
      <c r="C152" s="160">
        <v>11717</v>
      </c>
      <c r="D152" s="160">
        <v>27351</v>
      </c>
      <c r="E152" s="160">
        <v>31339</v>
      </c>
      <c r="F152" s="160">
        <v>33265</v>
      </c>
      <c r="G152" s="160">
        <v>34834</v>
      </c>
      <c r="H152" s="160">
        <v>29989</v>
      </c>
      <c r="I152" s="161">
        <f>IFERROR(H152/G152-1,"-")</f>
        <v>-0.13908824711488776</v>
      </c>
      <c r="J152" s="160">
        <f t="shared" si="40"/>
        <v>-4845</v>
      </c>
      <c r="K152" s="161">
        <f>H152/H$8</f>
        <v>9.6637333996723446E-3</v>
      </c>
      <c r="L152" s="81"/>
    </row>
    <row r="153" spans="1:12" s="57" customFormat="1" x14ac:dyDescent="0.25">
      <c r="A153" s="162"/>
      <c r="B153" s="163" t="s">
        <v>115</v>
      </c>
      <c r="C153" s="164">
        <v>600</v>
      </c>
      <c r="D153" s="164">
        <v>12218</v>
      </c>
      <c r="E153" s="164">
        <v>11169</v>
      </c>
      <c r="F153" s="164">
        <v>12850</v>
      </c>
      <c r="G153" s="164">
        <v>8481</v>
      </c>
      <c r="H153" s="164">
        <v>12718</v>
      </c>
      <c r="I153" s="165">
        <f t="shared" ref="I153:I160" si="41">IFERROR(H153/G153-1,"-")</f>
        <v>0.49958731281688484</v>
      </c>
      <c r="J153" s="164">
        <f t="shared" si="40"/>
        <v>4237</v>
      </c>
      <c r="K153" s="165">
        <f t="shared" ref="K153:K160" si="42">H153/H$8</f>
        <v>4.0982814157535389E-3</v>
      </c>
      <c r="L153" s="166"/>
    </row>
    <row r="154" spans="1:12" s="57" customFormat="1" x14ac:dyDescent="0.25">
      <c r="A154" s="162"/>
      <c r="B154" s="163" t="s">
        <v>118</v>
      </c>
      <c r="C154" s="164">
        <v>3235</v>
      </c>
      <c r="D154" s="164">
        <v>4079</v>
      </c>
      <c r="E154" s="164">
        <v>4790</v>
      </c>
      <c r="F154" s="164">
        <v>3377</v>
      </c>
      <c r="G154" s="164">
        <v>3557</v>
      </c>
      <c r="H154" s="164">
        <v>3484</v>
      </c>
      <c r="I154" s="165">
        <f t="shared" si="41"/>
        <v>-2.0522912566769747E-2</v>
      </c>
      <c r="J154" s="164">
        <f t="shared" si="40"/>
        <v>-73</v>
      </c>
      <c r="K154" s="165">
        <f t="shared" si="42"/>
        <v>1.1226932263316031E-3</v>
      </c>
      <c r="L154" s="166"/>
    </row>
    <row r="155" spans="1:12" x14ac:dyDescent="0.25">
      <c r="A155" s="162"/>
      <c r="B155" s="163" t="s">
        <v>121</v>
      </c>
      <c r="C155" s="164">
        <v>2495</v>
      </c>
      <c r="D155" s="164">
        <v>3136</v>
      </c>
      <c r="E155" s="164">
        <v>6457</v>
      </c>
      <c r="F155" s="164">
        <v>5677</v>
      </c>
      <c r="G155" s="164">
        <v>14804</v>
      </c>
      <c r="H155" s="164">
        <v>6908</v>
      </c>
      <c r="I155" s="165">
        <f t="shared" si="41"/>
        <v>-0.53336935963253174</v>
      </c>
      <c r="J155" s="164">
        <f t="shared" si="40"/>
        <v>-7896</v>
      </c>
      <c r="K155" s="165">
        <f t="shared" si="42"/>
        <v>2.2260518965266114E-3</v>
      </c>
      <c r="L155" s="81"/>
    </row>
    <row r="156" spans="1:12" x14ac:dyDescent="0.25">
      <c r="A156" s="162"/>
      <c r="B156" s="163" t="s">
        <v>128</v>
      </c>
      <c r="C156" s="164">
        <v>145</v>
      </c>
      <c r="D156" s="164">
        <v>1077</v>
      </c>
      <c r="E156" s="164">
        <v>568</v>
      </c>
      <c r="F156" s="164">
        <v>1154</v>
      </c>
      <c r="G156" s="164">
        <v>634</v>
      </c>
      <c r="H156" s="164">
        <v>764</v>
      </c>
      <c r="I156" s="165">
        <f t="shared" si="41"/>
        <v>0.20504731861198744</v>
      </c>
      <c r="J156" s="164">
        <f t="shared" si="40"/>
        <v>130</v>
      </c>
      <c r="K156" s="165">
        <f t="shared" si="42"/>
        <v>2.4619334813930679E-4</v>
      </c>
      <c r="L156" s="81"/>
    </row>
    <row r="157" spans="1:12" x14ac:dyDescent="0.25">
      <c r="A157" s="162"/>
      <c r="B157" s="163" t="s">
        <v>124</v>
      </c>
      <c r="C157" s="164">
        <v>1258</v>
      </c>
      <c r="D157" s="164">
        <v>3742</v>
      </c>
      <c r="E157" s="164">
        <v>2402</v>
      </c>
      <c r="F157" s="164">
        <v>3321</v>
      </c>
      <c r="G157" s="164">
        <v>1705</v>
      </c>
      <c r="H157" s="164">
        <v>1042</v>
      </c>
      <c r="I157" s="165">
        <f t="shared" si="41"/>
        <v>-0.3888563049853373</v>
      </c>
      <c r="J157" s="164">
        <f t="shared" si="40"/>
        <v>-663</v>
      </c>
      <c r="K157" s="165">
        <f t="shared" si="42"/>
        <v>3.357767915721959E-4</v>
      </c>
      <c r="L157" s="81"/>
    </row>
    <row r="158" spans="1:12" x14ac:dyDescent="0.25">
      <c r="A158" s="162"/>
      <c r="B158" s="163" t="s">
        <v>133</v>
      </c>
      <c r="C158" s="164">
        <v>39</v>
      </c>
      <c r="D158" s="164">
        <v>91</v>
      </c>
      <c r="E158" s="164">
        <v>58</v>
      </c>
      <c r="F158" s="164">
        <v>16</v>
      </c>
      <c r="G158" s="164">
        <v>55</v>
      </c>
      <c r="H158" s="164">
        <v>121</v>
      </c>
      <c r="I158" s="165">
        <f t="shared" si="41"/>
        <v>1.2000000000000002</v>
      </c>
      <c r="J158" s="164">
        <f t="shared" si="40"/>
        <v>66</v>
      </c>
      <c r="K158" s="165">
        <f t="shared" si="42"/>
        <v>3.8991354875466124E-5</v>
      </c>
      <c r="L158" s="81"/>
    </row>
    <row r="159" spans="1:12" x14ac:dyDescent="0.25">
      <c r="A159" s="162" t="s">
        <v>149</v>
      </c>
      <c r="B159" s="163" t="s">
        <v>136</v>
      </c>
      <c r="C159" s="164">
        <v>10</v>
      </c>
      <c r="D159" s="164">
        <v>58</v>
      </c>
      <c r="E159" s="164">
        <v>96</v>
      </c>
      <c r="F159" s="164">
        <v>20</v>
      </c>
      <c r="G159" s="164">
        <v>70</v>
      </c>
      <c r="H159" s="164">
        <v>8</v>
      </c>
      <c r="I159" s="165">
        <f t="shared" si="41"/>
        <v>-0.88571428571428568</v>
      </c>
      <c r="J159" s="164">
        <f t="shared" si="40"/>
        <v>-62</v>
      </c>
      <c r="K159" s="165">
        <f t="shared" si="42"/>
        <v>2.5779408182126362E-6</v>
      </c>
      <c r="L159" s="81"/>
    </row>
    <row r="160" spans="1:12" x14ac:dyDescent="0.25">
      <c r="A160" s="162" t="s">
        <v>150</v>
      </c>
      <c r="B160" s="168" t="s">
        <v>150</v>
      </c>
      <c r="C160" s="169">
        <f t="shared" ref="C160:H160" si="43">C152-SUM(C153:C159)</f>
        <v>3935</v>
      </c>
      <c r="D160" s="169">
        <f t="shared" si="43"/>
        <v>2950</v>
      </c>
      <c r="E160" s="169">
        <f t="shared" si="43"/>
        <v>5799</v>
      </c>
      <c r="F160" s="169">
        <f t="shared" si="43"/>
        <v>6850</v>
      </c>
      <c r="G160" s="169">
        <f t="shared" si="43"/>
        <v>5528</v>
      </c>
      <c r="H160" s="169">
        <f t="shared" si="43"/>
        <v>4944</v>
      </c>
      <c r="I160" s="170">
        <f t="shared" si="41"/>
        <v>-0.10564399421128801</v>
      </c>
      <c r="J160" s="169">
        <f>H160-G160</f>
        <v>-584</v>
      </c>
      <c r="K160" s="170">
        <f t="shared" si="42"/>
        <v>1.5931674256554093E-3</v>
      </c>
      <c r="L160" s="81"/>
    </row>
    <row r="161" spans="1:14" ht="6" customHeight="1" x14ac:dyDescent="0.25">
      <c r="A161" s="162"/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</row>
    <row r="162" spans="1:14" x14ac:dyDescent="0.25">
      <c r="B162" s="107" t="s">
        <v>57</v>
      </c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</row>
  </sheetData>
  <mergeCells count="1">
    <mergeCell ref="B4:K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8A841-E0DD-44BC-9B7B-B584A38C13CF}">
  <sheetPr>
    <tabColor rgb="FFF29140"/>
    <pageSetUpPr fitToPage="1"/>
  </sheetPr>
  <dimension ref="A1:N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</cols>
  <sheetData>
    <row r="1" spans="1:12" ht="42.75" customHeight="1" x14ac:dyDescent="0.25"/>
    <row r="3" spans="1:12" ht="42" customHeight="1" thickBot="1" x14ac:dyDescent="0.3">
      <c r="B3" s="273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3" s="273"/>
      <c r="D3" s="273"/>
      <c r="E3" s="273"/>
      <c r="F3" s="273"/>
      <c r="G3" s="273"/>
      <c r="H3" s="273"/>
      <c r="I3" s="273"/>
      <c r="J3" s="273"/>
      <c r="K3" s="273"/>
    </row>
    <row r="4" spans="1:12" ht="6" customHeight="1" x14ac:dyDescent="0.25"/>
    <row r="5" spans="1:12" ht="15.75" x14ac:dyDescent="0.25">
      <c r="B5" s="145"/>
      <c r="C5" s="307" t="s">
        <v>45</v>
      </c>
      <c r="D5" s="308"/>
      <c r="E5" s="308"/>
      <c r="F5" s="308"/>
      <c r="G5" s="308"/>
      <c r="H5" s="308"/>
      <c r="I5" s="308"/>
      <c r="J5" s="308"/>
      <c r="K5" s="308"/>
    </row>
    <row r="6" spans="1:12" s="146" customFormat="1" ht="72" customHeight="1" x14ac:dyDescent="0.25">
      <c r="B6" s="147"/>
      <c r="C6" s="172" t="s">
        <v>270</v>
      </c>
      <c r="D6" s="172" t="s">
        <v>271</v>
      </c>
      <c r="E6" s="172" t="s">
        <v>272</v>
      </c>
      <c r="F6" s="172" t="s">
        <v>273</v>
      </c>
      <c r="G6" s="172" t="s">
        <v>274</v>
      </c>
      <c r="H6" s="172" t="s">
        <v>275</v>
      </c>
      <c r="I6" s="173" t="str">
        <f>CONCATENATE("var. ",RIGHT(H6,2),"/",RIGHT(G6,2))</f>
        <v>var. 26/25</v>
      </c>
      <c r="J6" s="172" t="str">
        <f>CONCATENATE("dif. ",RIGHT(H6,2),"/",RIGHT(G6,2))</f>
        <v>dif. 26/25</v>
      </c>
      <c r="K6" s="173" t="str">
        <f>CONCATENATE("Cuota s/ total lugares de residencia ",RIGHT(H6,4))</f>
        <v>Cuota s/ total lugares de residencia 2026</v>
      </c>
    </row>
    <row r="7" spans="1:12" s="146" customFormat="1" x14ac:dyDescent="0.25">
      <c r="B7" s="152" t="s">
        <v>45</v>
      </c>
      <c r="C7" s="153"/>
      <c r="D7" s="153"/>
      <c r="E7" s="153"/>
      <c r="F7" s="153"/>
      <c r="G7" s="153"/>
      <c r="H7" s="153"/>
      <c r="I7" s="153"/>
      <c r="J7" s="153"/>
      <c r="K7" s="153"/>
    </row>
    <row r="8" spans="1:12" x14ac:dyDescent="0.25">
      <c r="A8" s="1"/>
      <c r="B8" s="156" t="s">
        <v>73</v>
      </c>
      <c r="C8" s="176">
        <v>3612090</v>
      </c>
      <c r="D8" s="176">
        <v>17324543</v>
      </c>
      <c r="E8" s="176">
        <v>19516285</v>
      </c>
      <c r="F8" s="176">
        <v>20758711</v>
      </c>
      <c r="G8" s="176">
        <v>20157176</v>
      </c>
      <c r="H8" s="176">
        <v>19735608</v>
      </c>
      <c r="I8" s="177">
        <f>IFERROR(H8/G8-1,"-")</f>
        <v>-2.0914040736658701E-2</v>
      </c>
      <c r="J8" s="176">
        <f>H8-G8</f>
        <v>-421568</v>
      </c>
      <c r="K8" s="177">
        <f>H8/H$8</f>
        <v>1</v>
      </c>
      <c r="L8" s="81"/>
    </row>
    <row r="9" spans="1:12" x14ac:dyDescent="0.25">
      <c r="A9" s="1" t="s">
        <v>101</v>
      </c>
      <c r="B9" s="159" t="s">
        <v>102</v>
      </c>
      <c r="C9" s="160">
        <v>1194512</v>
      </c>
      <c r="D9" s="160">
        <v>2291418</v>
      </c>
      <c r="E9" s="160">
        <v>2429850</v>
      </c>
      <c r="F9" s="160">
        <v>2382764</v>
      </c>
      <c r="G9" s="160">
        <v>2335961</v>
      </c>
      <c r="H9" s="160">
        <v>2366166</v>
      </c>
      <c r="I9" s="161">
        <f>IFERROR(H9/G9-1,"-")</f>
        <v>1.2930438479067163E-2</v>
      </c>
      <c r="J9" s="160">
        <f t="shared" ref="J9:J19" si="0">H9-G9</f>
        <v>30205</v>
      </c>
      <c r="K9" s="161">
        <f>H9/H$8</f>
        <v>0.11989324068455352</v>
      </c>
      <c r="L9" s="81"/>
    </row>
    <row r="10" spans="1:12" x14ac:dyDescent="0.25">
      <c r="A10" s="162" t="s">
        <v>108</v>
      </c>
      <c r="B10" s="163" t="s">
        <v>108</v>
      </c>
      <c r="C10" s="164">
        <v>576324</v>
      </c>
      <c r="D10" s="164">
        <v>688568</v>
      </c>
      <c r="E10" s="164">
        <v>760699</v>
      </c>
      <c r="F10" s="164">
        <v>768284</v>
      </c>
      <c r="G10" s="164">
        <v>660791</v>
      </c>
      <c r="H10" s="164">
        <v>703198</v>
      </c>
      <c r="I10" s="165">
        <f>IFERROR(H10/G10-1,"-")</f>
        <v>6.4176116200129751E-2</v>
      </c>
      <c r="J10" s="164">
        <f t="shared" si="0"/>
        <v>42407</v>
      </c>
      <c r="K10" s="165">
        <f>H10/H$8</f>
        <v>3.5630926597244941E-2</v>
      </c>
      <c r="L10" s="81"/>
    </row>
    <row r="11" spans="1:12" x14ac:dyDescent="0.25">
      <c r="A11" s="162" t="s">
        <v>105</v>
      </c>
      <c r="B11" s="163" t="s">
        <v>105</v>
      </c>
      <c r="C11" s="164">
        <v>618188</v>
      </c>
      <c r="D11" s="164">
        <v>1602850</v>
      </c>
      <c r="E11" s="164">
        <v>1669151</v>
      </c>
      <c r="F11" s="164">
        <v>1614480</v>
      </c>
      <c r="G11" s="164">
        <v>1675170</v>
      </c>
      <c r="H11" s="164">
        <v>1662968</v>
      </c>
      <c r="I11" s="165">
        <f>IFERROR(H11/G11-1,"-")</f>
        <v>-7.2840368440217906E-3</v>
      </c>
      <c r="J11" s="164">
        <f t="shared" si="0"/>
        <v>-12202</v>
      </c>
      <c r="K11" s="165">
        <f>H11/H$8</f>
        <v>8.4262314087308582E-2</v>
      </c>
      <c r="L11" s="81"/>
    </row>
    <row r="12" spans="1:12" x14ac:dyDescent="0.25">
      <c r="A12" s="1"/>
      <c r="B12" s="159" t="s">
        <v>112</v>
      </c>
      <c r="C12" s="160">
        <v>2417578</v>
      </c>
      <c r="D12" s="160">
        <v>15033125</v>
      </c>
      <c r="E12" s="160">
        <v>17086435</v>
      </c>
      <c r="F12" s="160">
        <v>18375947</v>
      </c>
      <c r="G12" s="160">
        <v>17821215</v>
      </c>
      <c r="H12" s="160">
        <v>17369442</v>
      </c>
      <c r="I12" s="161">
        <f>IFERROR(H12/G12-1,"-")</f>
        <v>-2.5350291773035716E-2</v>
      </c>
      <c r="J12" s="160">
        <f t="shared" si="0"/>
        <v>-451773</v>
      </c>
      <c r="K12" s="161">
        <f>H12/H$8</f>
        <v>0.88010675931544646</v>
      </c>
      <c r="L12" s="81"/>
    </row>
    <row r="13" spans="1:12" s="57" customFormat="1" x14ac:dyDescent="0.25">
      <c r="A13" s="162"/>
      <c r="B13" s="163" t="s">
        <v>115</v>
      </c>
      <c r="C13" s="164">
        <v>238114</v>
      </c>
      <c r="D13" s="164">
        <v>6881896</v>
      </c>
      <c r="E13" s="164">
        <v>7720845</v>
      </c>
      <c r="F13" s="164">
        <v>8375725</v>
      </c>
      <c r="G13" s="164">
        <v>8170897</v>
      </c>
      <c r="H13" s="164">
        <v>8175852</v>
      </c>
      <c r="I13" s="165">
        <f t="shared" ref="I13:I20" si="1">IFERROR(H13/G13-1,"-")</f>
        <v>6.064205680234025E-4</v>
      </c>
      <c r="J13" s="164">
        <f t="shared" si="0"/>
        <v>4955</v>
      </c>
      <c r="K13" s="165">
        <f t="shared" ref="K13:K20" si="2">H13/H$8</f>
        <v>0.41426907141649755</v>
      </c>
      <c r="L13" s="166"/>
    </row>
    <row r="14" spans="1:12" s="57" customFormat="1" x14ac:dyDescent="0.25">
      <c r="A14" s="162"/>
      <c r="B14" s="163" t="s">
        <v>118</v>
      </c>
      <c r="C14" s="164">
        <v>434041</v>
      </c>
      <c r="D14" s="164">
        <v>1736932</v>
      </c>
      <c r="E14" s="164">
        <v>2034697</v>
      </c>
      <c r="F14" s="164">
        <v>2158859</v>
      </c>
      <c r="G14" s="164">
        <v>2038545</v>
      </c>
      <c r="H14" s="164">
        <v>1855106</v>
      </c>
      <c r="I14" s="165">
        <f t="shared" si="1"/>
        <v>-8.9985259094108816E-2</v>
      </c>
      <c r="J14" s="164">
        <f t="shared" si="0"/>
        <v>-183439</v>
      </c>
      <c r="K14" s="165">
        <f t="shared" si="2"/>
        <v>9.3997914834952137E-2</v>
      </c>
      <c r="L14" s="166"/>
    </row>
    <row r="15" spans="1:12" x14ac:dyDescent="0.25">
      <c r="A15" s="162"/>
      <c r="B15" s="163" t="s">
        <v>121</v>
      </c>
      <c r="C15" s="164">
        <v>328795</v>
      </c>
      <c r="D15" s="164">
        <v>703222</v>
      </c>
      <c r="E15" s="164">
        <v>845127</v>
      </c>
      <c r="F15" s="164">
        <v>931261</v>
      </c>
      <c r="G15" s="164">
        <v>889776</v>
      </c>
      <c r="H15" s="164">
        <v>879611</v>
      </c>
      <c r="I15" s="165">
        <f t="shared" si="1"/>
        <v>-1.1424223624822427E-2</v>
      </c>
      <c r="J15" s="164">
        <f t="shared" si="0"/>
        <v>-10165</v>
      </c>
      <c r="K15" s="165">
        <f t="shared" si="2"/>
        <v>4.4569744190298063E-2</v>
      </c>
      <c r="L15" s="81"/>
    </row>
    <row r="16" spans="1:12" x14ac:dyDescent="0.25">
      <c r="A16" s="162"/>
      <c r="B16" s="163" t="s">
        <v>128</v>
      </c>
      <c r="C16" s="164">
        <v>130153</v>
      </c>
      <c r="D16" s="164">
        <v>748849</v>
      </c>
      <c r="E16" s="164">
        <v>715303</v>
      </c>
      <c r="F16" s="164">
        <v>771231</v>
      </c>
      <c r="G16" s="164">
        <v>719789</v>
      </c>
      <c r="H16" s="164">
        <v>707963</v>
      </c>
      <c r="I16" s="165">
        <f t="shared" si="1"/>
        <v>-1.6429814848518132E-2</v>
      </c>
      <c r="J16" s="164">
        <f t="shared" si="0"/>
        <v>-11826</v>
      </c>
      <c r="K16" s="165">
        <f t="shared" si="2"/>
        <v>3.5872368360782197E-2</v>
      </c>
      <c r="L16" s="81"/>
    </row>
    <row r="17" spans="1:12" x14ac:dyDescent="0.25">
      <c r="A17" s="162"/>
      <c r="B17" s="163" t="s">
        <v>124</v>
      </c>
      <c r="C17" s="164">
        <v>180488</v>
      </c>
      <c r="D17" s="164">
        <v>657750</v>
      </c>
      <c r="E17" s="164">
        <v>663069</v>
      </c>
      <c r="F17" s="164">
        <v>693434</v>
      </c>
      <c r="G17" s="164">
        <v>628594</v>
      </c>
      <c r="H17" s="164">
        <v>644369</v>
      </c>
      <c r="I17" s="165">
        <f t="shared" si="1"/>
        <v>2.5095689745686434E-2</v>
      </c>
      <c r="J17" s="164">
        <f t="shared" si="0"/>
        <v>15775</v>
      </c>
      <c r="K17" s="165">
        <f t="shared" si="2"/>
        <v>3.2650070876965129E-2</v>
      </c>
      <c r="L17" s="81"/>
    </row>
    <row r="18" spans="1:12" x14ac:dyDescent="0.25">
      <c r="A18" s="162"/>
      <c r="B18" s="163" t="s">
        <v>133</v>
      </c>
      <c r="C18" s="164">
        <v>13183</v>
      </c>
      <c r="D18" s="164">
        <v>280279</v>
      </c>
      <c r="E18" s="164">
        <v>345408</v>
      </c>
      <c r="F18" s="164">
        <v>327534</v>
      </c>
      <c r="G18" s="164">
        <v>319056</v>
      </c>
      <c r="H18" s="164">
        <v>277729</v>
      </c>
      <c r="I18" s="165">
        <f t="shared" si="1"/>
        <v>-0.12952898550724634</v>
      </c>
      <c r="J18" s="164">
        <f t="shared" si="0"/>
        <v>-41327</v>
      </c>
      <c r="K18" s="165">
        <f t="shared" si="2"/>
        <v>1.4072482590858108E-2</v>
      </c>
      <c r="L18" s="81"/>
    </row>
    <row r="19" spans="1:12" x14ac:dyDescent="0.25">
      <c r="A19" s="162" t="s">
        <v>149</v>
      </c>
      <c r="B19" s="163" t="s">
        <v>136</v>
      </c>
      <c r="C19" s="164">
        <v>22784</v>
      </c>
      <c r="D19" s="164">
        <v>211989</v>
      </c>
      <c r="E19" s="164">
        <v>311401</v>
      </c>
      <c r="F19" s="164">
        <v>329230</v>
      </c>
      <c r="G19" s="164">
        <v>279964</v>
      </c>
      <c r="H19" s="164">
        <v>265873</v>
      </c>
      <c r="I19" s="165">
        <f t="shared" si="1"/>
        <v>-5.0331471189152932E-2</v>
      </c>
      <c r="J19" s="164">
        <f t="shared" si="0"/>
        <v>-14091</v>
      </c>
      <c r="K19" s="165">
        <f t="shared" si="2"/>
        <v>1.3471741027689646E-2</v>
      </c>
      <c r="L19" s="81"/>
    </row>
    <row r="20" spans="1:12" x14ac:dyDescent="0.25">
      <c r="A20" s="162" t="s">
        <v>150</v>
      </c>
      <c r="B20" s="168" t="s">
        <v>150</v>
      </c>
      <c r="C20" s="169">
        <f t="shared" ref="C20:H20" si="3">C12-SUM(C13:C19)</f>
        <v>1070020</v>
      </c>
      <c r="D20" s="169">
        <f t="shared" si="3"/>
        <v>3812208</v>
      </c>
      <c r="E20" s="169">
        <f t="shared" si="3"/>
        <v>4450585</v>
      </c>
      <c r="F20" s="169">
        <f t="shared" si="3"/>
        <v>4788673</v>
      </c>
      <c r="G20" s="169">
        <f t="shared" si="3"/>
        <v>4774594</v>
      </c>
      <c r="H20" s="169">
        <f t="shared" si="3"/>
        <v>4562939</v>
      </c>
      <c r="I20" s="170">
        <f t="shared" si="1"/>
        <v>-4.4329423611724872E-2</v>
      </c>
      <c r="J20" s="169">
        <f>H20-G20</f>
        <v>-211655</v>
      </c>
      <c r="K20" s="170">
        <f t="shared" si="2"/>
        <v>0.23120336601740368</v>
      </c>
      <c r="L20" s="81"/>
    </row>
    <row r="21" spans="1:12" s="146" customFormat="1" x14ac:dyDescent="0.25">
      <c r="A21" s="162"/>
      <c r="B21" s="155" t="s">
        <v>46</v>
      </c>
      <c r="C21" s="153"/>
      <c r="D21" s="153"/>
      <c r="E21" s="153"/>
      <c r="F21" s="153"/>
      <c r="G21" s="153"/>
      <c r="H21" s="153"/>
      <c r="I21" s="153"/>
      <c r="J21" s="153"/>
      <c r="K21" s="153"/>
    </row>
    <row r="22" spans="1:12" x14ac:dyDescent="0.25">
      <c r="A22" s="162"/>
      <c r="B22" s="156" t="s">
        <v>73</v>
      </c>
      <c r="C22" s="176">
        <v>1495386</v>
      </c>
      <c r="D22" s="176">
        <v>7078492</v>
      </c>
      <c r="E22" s="176">
        <v>7705489</v>
      </c>
      <c r="F22" s="176">
        <v>7945816</v>
      </c>
      <c r="G22" s="176">
        <v>7531582</v>
      </c>
      <c r="H22" s="176">
        <v>7603356</v>
      </c>
      <c r="I22" s="177">
        <f>IFERROR(H22/G22-1,"-")</f>
        <v>9.5297375770455606E-3</v>
      </c>
      <c r="J22" s="176">
        <f>H22-G22</f>
        <v>71774</v>
      </c>
      <c r="K22" s="177">
        <f>H22/H$8</f>
        <v>0.38526079358690141</v>
      </c>
      <c r="L22" s="81"/>
    </row>
    <row r="23" spans="1:12" x14ac:dyDescent="0.25">
      <c r="A23" s="162" t="s">
        <v>101</v>
      </c>
      <c r="B23" s="159" t="s">
        <v>102</v>
      </c>
      <c r="C23" s="160">
        <v>435022</v>
      </c>
      <c r="D23" s="160">
        <v>491577</v>
      </c>
      <c r="E23" s="160">
        <v>446715</v>
      </c>
      <c r="F23" s="160">
        <v>395181</v>
      </c>
      <c r="G23" s="160">
        <v>342399</v>
      </c>
      <c r="H23" s="160">
        <v>365500</v>
      </c>
      <c r="I23" s="161">
        <f>IFERROR(H23/G23-1,"-")</f>
        <v>6.7468070876375297E-2</v>
      </c>
      <c r="J23" s="160">
        <f t="shared" ref="J23:J33" si="4">H23-G23</f>
        <v>23101</v>
      </c>
      <c r="K23" s="161">
        <f>H23/H$8</f>
        <v>1.8519824674263899E-2</v>
      </c>
      <c r="L23" s="81"/>
    </row>
    <row r="24" spans="1:12" x14ac:dyDescent="0.25">
      <c r="A24" s="162" t="s">
        <v>108</v>
      </c>
      <c r="B24" s="163" t="s">
        <v>108</v>
      </c>
      <c r="C24" s="164">
        <v>195582</v>
      </c>
      <c r="D24" s="164">
        <v>153193</v>
      </c>
      <c r="E24" s="164">
        <v>146498</v>
      </c>
      <c r="F24" s="164">
        <v>124312</v>
      </c>
      <c r="G24" s="164">
        <v>110331</v>
      </c>
      <c r="H24" s="164">
        <v>117832</v>
      </c>
      <c r="I24" s="165">
        <f>IFERROR(H24/G24-1,"-")</f>
        <v>6.7986332037233366E-2</v>
      </c>
      <c r="J24" s="164">
        <f t="shared" si="4"/>
        <v>7501</v>
      </c>
      <c r="K24" s="165">
        <f>H24/H$8</f>
        <v>5.9705279918409408E-3</v>
      </c>
      <c r="L24" s="81"/>
    </row>
    <row r="25" spans="1:12" x14ac:dyDescent="0.25">
      <c r="A25" s="162" t="s">
        <v>105</v>
      </c>
      <c r="B25" s="163" t="s">
        <v>105</v>
      </c>
      <c r="C25" s="164">
        <v>239440</v>
      </c>
      <c r="D25" s="164">
        <v>338384</v>
      </c>
      <c r="E25" s="164">
        <v>300217</v>
      </c>
      <c r="F25" s="164">
        <v>270869</v>
      </c>
      <c r="G25" s="164">
        <v>232068</v>
      </c>
      <c r="H25" s="164">
        <v>247668</v>
      </c>
      <c r="I25" s="165">
        <f>IFERROR(H25/G25-1,"-")</f>
        <v>6.722167640519161E-2</v>
      </c>
      <c r="J25" s="164">
        <f t="shared" si="4"/>
        <v>15600</v>
      </c>
      <c r="K25" s="165">
        <f>H25/H$8</f>
        <v>1.2549296682422958E-2</v>
      </c>
      <c r="L25" s="81"/>
    </row>
    <row r="26" spans="1:12" x14ac:dyDescent="0.25">
      <c r="A26" s="162"/>
      <c r="B26" s="159" t="s">
        <v>112</v>
      </c>
      <c r="C26" s="160">
        <v>1060364</v>
      </c>
      <c r="D26" s="160">
        <v>6586915</v>
      </c>
      <c r="E26" s="160">
        <v>7258774</v>
      </c>
      <c r="F26" s="160">
        <v>7550635</v>
      </c>
      <c r="G26" s="160">
        <v>7189183</v>
      </c>
      <c r="H26" s="160">
        <v>7237856</v>
      </c>
      <c r="I26" s="161">
        <f>IFERROR(H26/G26-1,"-")</f>
        <v>6.7703103398535358E-3</v>
      </c>
      <c r="J26" s="160">
        <f t="shared" si="4"/>
        <v>48673</v>
      </c>
      <c r="K26" s="161">
        <f>H26/H$8</f>
        <v>0.36674096891263752</v>
      </c>
      <c r="L26" s="81"/>
    </row>
    <row r="27" spans="1:12" s="57" customFormat="1" x14ac:dyDescent="0.25">
      <c r="A27" s="162"/>
      <c r="B27" s="163" t="s">
        <v>115</v>
      </c>
      <c r="C27" s="164">
        <v>102750</v>
      </c>
      <c r="D27" s="164">
        <v>3219803</v>
      </c>
      <c r="E27" s="164">
        <v>3619914</v>
      </c>
      <c r="F27" s="164">
        <v>3803979</v>
      </c>
      <c r="G27" s="164">
        <v>3657166</v>
      </c>
      <c r="H27" s="164">
        <v>3736993</v>
      </c>
      <c r="I27" s="165">
        <f t="shared" ref="I27:I34" si="5">IFERROR(H27/G27-1,"-")</f>
        <v>2.1827557184989743E-2</v>
      </c>
      <c r="J27" s="164">
        <f t="shared" si="4"/>
        <v>79827</v>
      </c>
      <c r="K27" s="165">
        <f t="shared" ref="K27:K34" si="6">H27/H$8</f>
        <v>0.18935281851970306</v>
      </c>
      <c r="L27" s="166"/>
    </row>
    <row r="28" spans="1:12" s="57" customFormat="1" x14ac:dyDescent="0.25">
      <c r="A28" s="162"/>
      <c r="B28" s="163" t="s">
        <v>118</v>
      </c>
      <c r="C28" s="164">
        <v>203402</v>
      </c>
      <c r="D28" s="164">
        <v>784046</v>
      </c>
      <c r="E28" s="164">
        <v>848765</v>
      </c>
      <c r="F28" s="164">
        <v>833106</v>
      </c>
      <c r="G28" s="164">
        <v>770770</v>
      </c>
      <c r="H28" s="164">
        <v>716242</v>
      </c>
      <c r="I28" s="165">
        <f t="shared" si="5"/>
        <v>-7.0744839576008411E-2</v>
      </c>
      <c r="J28" s="164">
        <f t="shared" si="4"/>
        <v>-54528</v>
      </c>
      <c r="K28" s="165">
        <f t="shared" si="6"/>
        <v>3.6291863924334131E-2</v>
      </c>
      <c r="L28" s="166"/>
    </row>
    <row r="29" spans="1:12" x14ac:dyDescent="0.25">
      <c r="A29" s="162"/>
      <c r="B29" s="163" t="s">
        <v>121</v>
      </c>
      <c r="C29" s="164">
        <v>139153</v>
      </c>
      <c r="D29" s="164">
        <v>268598</v>
      </c>
      <c r="E29" s="164">
        <v>296108</v>
      </c>
      <c r="F29" s="164">
        <v>295684</v>
      </c>
      <c r="G29" s="164">
        <v>230280</v>
      </c>
      <c r="H29" s="164">
        <v>260134</v>
      </c>
      <c r="I29" s="165">
        <f t="shared" si="5"/>
        <v>0.12964217474379014</v>
      </c>
      <c r="J29" s="164">
        <f t="shared" si="4"/>
        <v>29854</v>
      </c>
      <c r="K29" s="165">
        <f t="shared" si="6"/>
        <v>1.3180946844910986E-2</v>
      </c>
      <c r="L29" s="81"/>
    </row>
    <row r="30" spans="1:12" x14ac:dyDescent="0.25">
      <c r="A30" s="162"/>
      <c r="B30" s="163" t="s">
        <v>128</v>
      </c>
      <c r="C30" s="164">
        <v>58063</v>
      </c>
      <c r="D30" s="164">
        <v>352462</v>
      </c>
      <c r="E30" s="164">
        <v>308477</v>
      </c>
      <c r="F30" s="164">
        <v>320361</v>
      </c>
      <c r="G30" s="164">
        <v>307532</v>
      </c>
      <c r="H30" s="164">
        <v>313253</v>
      </c>
      <c r="I30" s="165">
        <f t="shared" si="5"/>
        <v>1.8602942132851297E-2</v>
      </c>
      <c r="J30" s="164">
        <f t="shared" si="4"/>
        <v>5721</v>
      </c>
      <c r="K30" s="165">
        <f t="shared" si="6"/>
        <v>1.5872477807625688E-2</v>
      </c>
      <c r="L30" s="81"/>
    </row>
    <row r="31" spans="1:12" x14ac:dyDescent="0.25">
      <c r="A31" s="162"/>
      <c r="B31" s="163" t="s">
        <v>124</v>
      </c>
      <c r="C31" s="164">
        <v>105256</v>
      </c>
      <c r="D31" s="164">
        <v>384091</v>
      </c>
      <c r="E31" s="164">
        <v>352070</v>
      </c>
      <c r="F31" s="164">
        <v>364965</v>
      </c>
      <c r="G31" s="164">
        <v>339901</v>
      </c>
      <c r="H31" s="164">
        <v>357822</v>
      </c>
      <c r="I31" s="165">
        <f t="shared" si="5"/>
        <v>5.2724175568768628E-2</v>
      </c>
      <c r="J31" s="164">
        <f t="shared" si="4"/>
        <v>17921</v>
      </c>
      <c r="K31" s="165">
        <f t="shared" si="6"/>
        <v>1.813078168151698E-2</v>
      </c>
      <c r="L31" s="81"/>
    </row>
    <row r="32" spans="1:12" x14ac:dyDescent="0.25">
      <c r="A32" s="162"/>
      <c r="B32" s="163" t="s">
        <v>133</v>
      </c>
      <c r="C32" s="164">
        <v>2364</v>
      </c>
      <c r="D32" s="164">
        <v>107392</v>
      </c>
      <c r="E32" s="164">
        <v>119738</v>
      </c>
      <c r="F32" s="164">
        <v>116998</v>
      </c>
      <c r="G32" s="164">
        <v>107961</v>
      </c>
      <c r="H32" s="164">
        <v>110772</v>
      </c>
      <c r="I32" s="165">
        <f t="shared" si="5"/>
        <v>2.6037180092811196E-2</v>
      </c>
      <c r="J32" s="164">
        <f t="shared" si="4"/>
        <v>2811</v>
      </c>
      <c r="K32" s="165">
        <f t="shared" si="6"/>
        <v>5.612798957093189E-3</v>
      </c>
      <c r="L32" s="81"/>
    </row>
    <row r="33" spans="1:12" x14ac:dyDescent="0.25">
      <c r="A33" s="162" t="s">
        <v>149</v>
      </c>
      <c r="B33" s="163" t="s">
        <v>136</v>
      </c>
      <c r="C33" s="164">
        <v>3357</v>
      </c>
      <c r="D33" s="164">
        <v>64639</v>
      </c>
      <c r="E33" s="164">
        <v>105270</v>
      </c>
      <c r="F33" s="164">
        <v>100074</v>
      </c>
      <c r="G33" s="164">
        <v>86213</v>
      </c>
      <c r="H33" s="164">
        <v>87936</v>
      </c>
      <c r="I33" s="165">
        <f t="shared" si="5"/>
        <v>1.9985385034739567E-2</v>
      </c>
      <c r="J33" s="164">
        <f t="shared" si="4"/>
        <v>1723</v>
      </c>
      <c r="K33" s="165">
        <f t="shared" si="6"/>
        <v>4.4557026061725589E-3</v>
      </c>
      <c r="L33" s="81"/>
    </row>
    <row r="34" spans="1:12" x14ac:dyDescent="0.25">
      <c r="A34" s="162" t="s">
        <v>150</v>
      </c>
      <c r="B34" s="168" t="s">
        <v>150</v>
      </c>
      <c r="C34" s="169">
        <f t="shared" ref="C34:H34" si="7">C26-SUM(C27:C33)</f>
        <v>446019</v>
      </c>
      <c r="D34" s="169">
        <f t="shared" si="7"/>
        <v>1405884</v>
      </c>
      <c r="E34" s="169">
        <f t="shared" si="7"/>
        <v>1608432</v>
      </c>
      <c r="F34" s="169">
        <f t="shared" si="7"/>
        <v>1715468</v>
      </c>
      <c r="G34" s="169">
        <f t="shared" si="7"/>
        <v>1689360</v>
      </c>
      <c r="H34" s="169">
        <f t="shared" si="7"/>
        <v>1654704</v>
      </c>
      <c r="I34" s="170">
        <f t="shared" si="5"/>
        <v>-2.0514277596249464E-2</v>
      </c>
      <c r="J34" s="169">
        <f>H34-G34</f>
        <v>-34656</v>
      </c>
      <c r="K34" s="170">
        <f t="shared" si="6"/>
        <v>8.38435785712809E-2</v>
      </c>
      <c r="L34" s="81"/>
    </row>
    <row r="35" spans="1:12" s="146" customFormat="1" x14ac:dyDescent="0.25">
      <c r="A35" s="162"/>
      <c r="B35" s="155" t="s">
        <v>47</v>
      </c>
      <c r="C35" s="153"/>
      <c r="D35" s="153"/>
      <c r="E35" s="153"/>
      <c r="F35" s="153"/>
      <c r="G35" s="153"/>
      <c r="H35" s="153"/>
      <c r="I35" s="153"/>
      <c r="J35" s="153"/>
      <c r="K35" s="153"/>
    </row>
    <row r="36" spans="1:12" x14ac:dyDescent="0.25">
      <c r="A36" s="162"/>
      <c r="B36" s="156" t="s">
        <v>73</v>
      </c>
      <c r="C36" s="176">
        <v>689636</v>
      </c>
      <c r="D36" s="176">
        <v>4842970</v>
      </c>
      <c r="E36" s="176">
        <v>5450292</v>
      </c>
      <c r="F36" s="176">
        <v>5746427</v>
      </c>
      <c r="G36" s="176">
        <v>5753103</v>
      </c>
      <c r="H36" s="176">
        <v>5670043</v>
      </c>
      <c r="I36" s="177">
        <f>IFERROR(H36/G36-1,"-")</f>
        <v>-1.4437426202868253E-2</v>
      </c>
      <c r="J36" s="176">
        <f>H36-G36</f>
        <v>-83060</v>
      </c>
      <c r="K36" s="177">
        <f>H36/H$8</f>
        <v>0.28730014297000628</v>
      </c>
      <c r="L36" s="81"/>
    </row>
    <row r="37" spans="1:12" x14ac:dyDescent="0.25">
      <c r="A37" s="162" t="s">
        <v>101</v>
      </c>
      <c r="B37" s="159" t="s">
        <v>102</v>
      </c>
      <c r="C37" s="160">
        <v>143223</v>
      </c>
      <c r="D37" s="160">
        <v>274753</v>
      </c>
      <c r="E37" s="160">
        <v>264827</v>
      </c>
      <c r="F37" s="160">
        <v>295135</v>
      </c>
      <c r="G37" s="160">
        <v>305138</v>
      </c>
      <c r="H37" s="160">
        <v>348217</v>
      </c>
      <c r="I37" s="161">
        <f>IFERROR(H37/G37-1,"-")</f>
        <v>0.14117874535456099</v>
      </c>
      <c r="J37" s="160">
        <f t="shared" ref="J37:J47" si="8">H37-G37</f>
        <v>43079</v>
      </c>
      <c r="K37" s="161">
        <f>H37/H$8</f>
        <v>1.764409791682121E-2</v>
      </c>
      <c r="L37" s="81"/>
    </row>
    <row r="38" spans="1:12" x14ac:dyDescent="0.25">
      <c r="A38" s="162" t="s">
        <v>108</v>
      </c>
      <c r="B38" s="163" t="s">
        <v>108</v>
      </c>
      <c r="C38" s="164">
        <v>78227</v>
      </c>
      <c r="D38" s="164">
        <v>92834</v>
      </c>
      <c r="E38" s="164">
        <v>93134</v>
      </c>
      <c r="F38" s="164">
        <v>133643</v>
      </c>
      <c r="G38" s="164">
        <v>117290</v>
      </c>
      <c r="H38" s="164">
        <v>151776</v>
      </c>
      <c r="I38" s="165">
        <f>IFERROR(H38/G38-1,"-")</f>
        <v>0.29402336090033243</v>
      </c>
      <c r="J38" s="164">
        <f t="shared" si="8"/>
        <v>34486</v>
      </c>
      <c r="K38" s="165">
        <f>H38/H$8</f>
        <v>7.6904648693873531E-3</v>
      </c>
      <c r="L38" s="81"/>
    </row>
    <row r="39" spans="1:12" x14ac:dyDescent="0.25">
      <c r="A39" s="162" t="s">
        <v>105</v>
      </c>
      <c r="B39" s="163" t="s">
        <v>105</v>
      </c>
      <c r="C39" s="164">
        <v>64996</v>
      </c>
      <c r="D39" s="164">
        <v>181919</v>
      </c>
      <c r="E39" s="164">
        <v>171693</v>
      </c>
      <c r="F39" s="164">
        <v>161492</v>
      </c>
      <c r="G39" s="164">
        <v>187848</v>
      </c>
      <c r="H39" s="164">
        <v>196441</v>
      </c>
      <c r="I39" s="165">
        <f>IFERROR(H39/G39-1,"-")</f>
        <v>4.5744431668157226E-2</v>
      </c>
      <c r="J39" s="164">
        <f t="shared" si="8"/>
        <v>8593</v>
      </c>
      <c r="K39" s="165">
        <f>H39/H$8</f>
        <v>9.9536330474338571E-3</v>
      </c>
      <c r="L39" s="81"/>
    </row>
    <row r="40" spans="1:12" x14ac:dyDescent="0.25">
      <c r="A40" s="162"/>
      <c r="B40" s="159" t="s">
        <v>112</v>
      </c>
      <c r="C40" s="160">
        <v>546413</v>
      </c>
      <c r="D40" s="160">
        <v>4568217</v>
      </c>
      <c r="E40" s="160">
        <v>5185465</v>
      </c>
      <c r="F40" s="160">
        <v>5451292</v>
      </c>
      <c r="G40" s="160">
        <v>5447965</v>
      </c>
      <c r="H40" s="160">
        <v>5321826</v>
      </c>
      <c r="I40" s="161">
        <f>IFERROR(H40/G40-1,"-")</f>
        <v>-2.3153416000286309E-2</v>
      </c>
      <c r="J40" s="160">
        <f t="shared" si="8"/>
        <v>-126139</v>
      </c>
      <c r="K40" s="161">
        <f>H40/H$8</f>
        <v>0.26965604505318508</v>
      </c>
      <c r="L40" s="81"/>
    </row>
    <row r="41" spans="1:12" s="57" customFormat="1" x14ac:dyDescent="0.25">
      <c r="A41" s="162"/>
      <c r="B41" s="163" t="s">
        <v>115</v>
      </c>
      <c r="C41" s="164">
        <v>54485</v>
      </c>
      <c r="D41" s="164">
        <v>2290845</v>
      </c>
      <c r="E41" s="164">
        <v>2583858</v>
      </c>
      <c r="F41" s="164">
        <v>2780617</v>
      </c>
      <c r="G41" s="164">
        <v>2778610</v>
      </c>
      <c r="H41" s="164">
        <v>2740303</v>
      </c>
      <c r="I41" s="165">
        <f t="shared" ref="I41:I48" si="9">IFERROR(H41/G41-1,"-")</f>
        <v>-1.3786389597676529E-2</v>
      </c>
      <c r="J41" s="164">
        <f t="shared" si="8"/>
        <v>-38307</v>
      </c>
      <c r="K41" s="165">
        <f t="shared" ref="K41:K48" si="10">H41/H$8</f>
        <v>0.13885070072328148</v>
      </c>
      <c r="L41" s="166"/>
    </row>
    <row r="42" spans="1:12" s="57" customFormat="1" x14ac:dyDescent="0.25">
      <c r="A42" s="162"/>
      <c r="B42" s="163" t="s">
        <v>118</v>
      </c>
      <c r="C42" s="164">
        <v>41830</v>
      </c>
      <c r="D42" s="164">
        <v>171032</v>
      </c>
      <c r="E42" s="164">
        <v>201813</v>
      </c>
      <c r="F42" s="164">
        <v>196423</v>
      </c>
      <c r="G42" s="164">
        <v>200901</v>
      </c>
      <c r="H42" s="164">
        <v>208290</v>
      </c>
      <c r="I42" s="165">
        <f t="shared" si="9"/>
        <v>3.67793092119999E-2</v>
      </c>
      <c r="J42" s="164">
        <f t="shared" si="8"/>
        <v>7389</v>
      </c>
      <c r="K42" s="165">
        <f t="shared" si="10"/>
        <v>1.0554019921757668E-2</v>
      </c>
      <c r="L42" s="166"/>
    </row>
    <row r="43" spans="1:12" x14ac:dyDescent="0.25">
      <c r="A43" s="162"/>
      <c r="B43" s="163" t="s">
        <v>121</v>
      </c>
      <c r="C43" s="164">
        <v>53277</v>
      </c>
      <c r="D43" s="164">
        <v>102882</v>
      </c>
      <c r="E43" s="164">
        <v>136251</v>
      </c>
      <c r="F43" s="164">
        <v>139047</v>
      </c>
      <c r="G43" s="164">
        <v>138938</v>
      </c>
      <c r="H43" s="164">
        <v>155417</v>
      </c>
      <c r="I43" s="165">
        <f t="shared" si="9"/>
        <v>0.11860686061408687</v>
      </c>
      <c r="J43" s="164">
        <f t="shared" si="8"/>
        <v>16479</v>
      </c>
      <c r="K43" s="165">
        <f t="shared" si="10"/>
        <v>7.874953738440691E-3</v>
      </c>
      <c r="L43" s="81"/>
    </row>
    <row r="44" spans="1:12" x14ac:dyDescent="0.25">
      <c r="A44" s="162"/>
      <c r="B44" s="163" t="s">
        <v>128</v>
      </c>
      <c r="C44" s="164">
        <v>46500</v>
      </c>
      <c r="D44" s="164">
        <v>269663</v>
      </c>
      <c r="E44" s="164">
        <v>272418</v>
      </c>
      <c r="F44" s="164">
        <v>277333</v>
      </c>
      <c r="G44" s="164">
        <v>254389</v>
      </c>
      <c r="H44" s="164">
        <v>255822</v>
      </c>
      <c r="I44" s="165">
        <f t="shared" si="9"/>
        <v>5.6331052050206942E-3</v>
      </c>
      <c r="J44" s="164">
        <f t="shared" si="8"/>
        <v>1433</v>
      </c>
      <c r="K44" s="165">
        <f t="shared" si="10"/>
        <v>1.2962458516606126E-2</v>
      </c>
      <c r="L44" s="81"/>
    </row>
    <row r="45" spans="1:12" x14ac:dyDescent="0.25">
      <c r="A45" s="162"/>
      <c r="B45" s="163" t="s">
        <v>124</v>
      </c>
      <c r="C45" s="164">
        <v>35024</v>
      </c>
      <c r="D45" s="164">
        <v>174517</v>
      </c>
      <c r="E45" s="164">
        <v>204541</v>
      </c>
      <c r="F45" s="164">
        <v>213212</v>
      </c>
      <c r="G45" s="164">
        <v>186406</v>
      </c>
      <c r="H45" s="164">
        <v>192005</v>
      </c>
      <c r="I45" s="165">
        <f t="shared" si="9"/>
        <v>3.003658680514576E-2</v>
      </c>
      <c r="J45" s="164">
        <f t="shared" si="8"/>
        <v>5599</v>
      </c>
      <c r="K45" s="165">
        <f t="shared" si="10"/>
        <v>9.7288616595951841E-3</v>
      </c>
      <c r="L45" s="81"/>
    </row>
    <row r="46" spans="1:12" x14ac:dyDescent="0.25">
      <c r="A46" s="162"/>
      <c r="B46" s="163" t="s">
        <v>133</v>
      </c>
      <c r="C46" s="164">
        <v>7608</v>
      </c>
      <c r="D46" s="164">
        <v>111329</v>
      </c>
      <c r="E46" s="164">
        <v>123076</v>
      </c>
      <c r="F46" s="164">
        <v>117585</v>
      </c>
      <c r="G46" s="164">
        <v>124666</v>
      </c>
      <c r="H46" s="164">
        <v>93625</v>
      </c>
      <c r="I46" s="165">
        <f t="shared" si="9"/>
        <v>-0.24899331012465309</v>
      </c>
      <c r="J46" s="164">
        <f t="shared" si="8"/>
        <v>-31041</v>
      </c>
      <c r="K46" s="165">
        <f t="shared" si="10"/>
        <v>4.7439632972037142E-3</v>
      </c>
      <c r="L46" s="81"/>
    </row>
    <row r="47" spans="1:12" x14ac:dyDescent="0.25">
      <c r="A47" s="162" t="s">
        <v>149</v>
      </c>
      <c r="B47" s="163" t="s">
        <v>136</v>
      </c>
      <c r="C47" s="164">
        <v>14627</v>
      </c>
      <c r="D47" s="164">
        <v>99775</v>
      </c>
      <c r="E47" s="164">
        <v>126202</v>
      </c>
      <c r="F47" s="164">
        <v>137212</v>
      </c>
      <c r="G47" s="164">
        <v>117996</v>
      </c>
      <c r="H47" s="164">
        <v>101872</v>
      </c>
      <c r="I47" s="165">
        <f t="shared" si="9"/>
        <v>-0.13664869995593076</v>
      </c>
      <c r="J47" s="164">
        <f t="shared" si="8"/>
        <v>-16124</v>
      </c>
      <c r="K47" s="165">
        <f t="shared" si="10"/>
        <v>5.1618374260372418E-3</v>
      </c>
      <c r="L47" s="81"/>
    </row>
    <row r="48" spans="1:12" x14ac:dyDescent="0.25">
      <c r="A48" s="162" t="s">
        <v>150</v>
      </c>
      <c r="B48" s="168" t="s">
        <v>150</v>
      </c>
      <c r="C48" s="169">
        <f t="shared" ref="C48:H48" si="11">C40-SUM(C41:C47)</f>
        <v>293062</v>
      </c>
      <c r="D48" s="169">
        <f t="shared" si="11"/>
        <v>1348174</v>
      </c>
      <c r="E48" s="169">
        <f t="shared" si="11"/>
        <v>1537306</v>
      </c>
      <c r="F48" s="169">
        <f t="shared" si="11"/>
        <v>1589863</v>
      </c>
      <c r="G48" s="169">
        <f t="shared" si="11"/>
        <v>1646059</v>
      </c>
      <c r="H48" s="169">
        <f t="shared" si="11"/>
        <v>1574492</v>
      </c>
      <c r="I48" s="170">
        <f t="shared" si="9"/>
        <v>-4.3477785425674265E-2</v>
      </c>
      <c r="J48" s="169">
        <f>H48-G48</f>
        <v>-71567</v>
      </c>
      <c r="K48" s="170">
        <f t="shared" si="10"/>
        <v>7.9779249770262975E-2</v>
      </c>
      <c r="L48" s="81"/>
    </row>
    <row r="49" spans="1:12" s="146" customFormat="1" x14ac:dyDescent="0.25">
      <c r="A49" s="162"/>
      <c r="B49" s="155" t="s">
        <v>48</v>
      </c>
      <c r="C49" s="153"/>
      <c r="D49" s="153"/>
      <c r="E49" s="153"/>
      <c r="F49" s="153"/>
      <c r="G49" s="153"/>
      <c r="H49" s="153"/>
      <c r="I49" s="153"/>
      <c r="J49" s="153"/>
      <c r="K49" s="153"/>
    </row>
    <row r="50" spans="1:12" x14ac:dyDescent="0.25">
      <c r="A50" s="162"/>
      <c r="B50" s="156" t="s">
        <v>73</v>
      </c>
      <c r="C50" s="176">
        <v>30230</v>
      </c>
      <c r="D50" s="176">
        <v>90655</v>
      </c>
      <c r="E50" s="176">
        <v>98032</v>
      </c>
      <c r="F50" s="176">
        <v>106202</v>
      </c>
      <c r="G50" s="176">
        <v>111349</v>
      </c>
      <c r="H50" s="176">
        <v>104885</v>
      </c>
      <c r="I50" s="177">
        <f>IFERROR(H50/G50-1,"-")</f>
        <v>-5.8051711286136398E-2</v>
      </c>
      <c r="J50" s="176">
        <f>H50-G50</f>
        <v>-6464</v>
      </c>
      <c r="K50" s="177">
        <f>H50/H$8</f>
        <v>5.3145056387419124E-3</v>
      </c>
      <c r="L50" s="81"/>
    </row>
    <row r="51" spans="1:12" x14ac:dyDescent="0.25">
      <c r="A51" s="162" t="s">
        <v>101</v>
      </c>
      <c r="B51" s="159" t="s">
        <v>102</v>
      </c>
      <c r="C51" s="160">
        <v>7885</v>
      </c>
      <c r="D51" s="160">
        <v>8218</v>
      </c>
      <c r="E51" s="160">
        <v>25488</v>
      </c>
      <c r="F51" s="160">
        <v>17983</v>
      </c>
      <c r="G51" s="160">
        <v>15491</v>
      </c>
      <c r="H51" s="160">
        <v>21064</v>
      </c>
      <c r="I51" s="161">
        <f>IFERROR(H51/G51-1,"-")</f>
        <v>0.3597572784197276</v>
      </c>
      <c r="J51" s="160">
        <f t="shared" ref="J51:J61" si="12">H51-G51</f>
        <v>5573</v>
      </c>
      <c r="K51" s="161">
        <f>H51/H$8</f>
        <v>1.0673094033890418E-3</v>
      </c>
      <c r="L51" s="81"/>
    </row>
    <row r="52" spans="1:12" x14ac:dyDescent="0.25">
      <c r="A52" s="162" t="s">
        <v>108</v>
      </c>
      <c r="B52" s="163" t="s">
        <v>108</v>
      </c>
      <c r="C52" s="164">
        <v>3874</v>
      </c>
      <c r="D52" s="164">
        <v>1843</v>
      </c>
      <c r="E52" s="164">
        <v>17408</v>
      </c>
      <c r="F52" s="164">
        <v>9765</v>
      </c>
      <c r="G52" s="164">
        <v>8944</v>
      </c>
      <c r="H52" s="164">
        <v>7315</v>
      </c>
      <c r="I52" s="165">
        <f>IFERROR(H52/G52-1,"-")</f>
        <v>-0.18213327370304111</v>
      </c>
      <c r="J52" s="164">
        <f t="shared" si="12"/>
        <v>-1629</v>
      </c>
      <c r="K52" s="165">
        <f>H52/H$8</f>
        <v>3.7064984266002853E-4</v>
      </c>
      <c r="L52" s="81"/>
    </row>
    <row r="53" spans="1:12" x14ac:dyDescent="0.25">
      <c r="A53" s="162" t="s">
        <v>105</v>
      </c>
      <c r="B53" s="163" t="s">
        <v>105</v>
      </c>
      <c r="C53" s="164">
        <v>4011</v>
      </c>
      <c r="D53" s="164">
        <v>6375</v>
      </c>
      <c r="E53" s="164">
        <v>8080</v>
      </c>
      <c r="F53" s="164">
        <v>8218</v>
      </c>
      <c r="G53" s="164">
        <v>6547</v>
      </c>
      <c r="H53" s="164">
        <v>13749</v>
      </c>
      <c r="I53" s="165">
        <f>IFERROR(H53/G53-1,"-")</f>
        <v>1.1000458225141285</v>
      </c>
      <c r="J53" s="164">
        <f t="shared" si="12"/>
        <v>7202</v>
      </c>
      <c r="K53" s="165">
        <f>H53/H$8</f>
        <v>6.9665956072901321E-4</v>
      </c>
      <c r="L53" s="81"/>
    </row>
    <row r="54" spans="1:12" x14ac:dyDescent="0.25">
      <c r="A54" s="162"/>
      <c r="B54" s="159" t="s">
        <v>112</v>
      </c>
      <c r="C54" s="160">
        <v>22345</v>
      </c>
      <c r="D54" s="160">
        <v>82437</v>
      </c>
      <c r="E54" s="160">
        <v>72544</v>
      </c>
      <c r="F54" s="160">
        <v>88219</v>
      </c>
      <c r="G54" s="160">
        <v>95858</v>
      </c>
      <c r="H54" s="160">
        <v>83821</v>
      </c>
      <c r="I54" s="161">
        <f>IFERROR(H54/G54-1,"-")</f>
        <v>-0.12557115733689417</v>
      </c>
      <c r="J54" s="160">
        <f t="shared" si="12"/>
        <v>-12037</v>
      </c>
      <c r="K54" s="161">
        <f>H54/H$8</f>
        <v>4.2471962353528708E-3</v>
      </c>
      <c r="L54" s="81"/>
    </row>
    <row r="55" spans="1:12" s="57" customFormat="1" x14ac:dyDescent="0.25">
      <c r="A55" s="162"/>
      <c r="B55" s="163" t="s">
        <v>115</v>
      </c>
      <c r="C55" s="164">
        <v>970</v>
      </c>
      <c r="D55" s="164">
        <v>38516</v>
      </c>
      <c r="E55" s="164">
        <v>30653</v>
      </c>
      <c r="F55" s="164">
        <v>38352</v>
      </c>
      <c r="G55" s="164">
        <v>40064</v>
      </c>
      <c r="H55" s="164">
        <v>29215</v>
      </c>
      <c r="I55" s="165">
        <f t="shared" ref="I55:I62" si="13">IFERROR(H55/G55-1,"-")</f>
        <v>-0.27079173322683703</v>
      </c>
      <c r="J55" s="164">
        <f t="shared" si="12"/>
        <v>-10849</v>
      </c>
      <c r="K55" s="165">
        <f t="shared" ref="K55:K62" si="14">H55/H$8</f>
        <v>1.4803192280673592E-3</v>
      </c>
      <c r="L55" s="166"/>
    </row>
    <row r="56" spans="1:12" s="57" customFormat="1" x14ac:dyDescent="0.25">
      <c r="A56" s="162"/>
      <c r="B56" s="163" t="s">
        <v>118</v>
      </c>
      <c r="C56" s="164">
        <v>9395</v>
      </c>
      <c r="D56" s="164">
        <v>19543</v>
      </c>
      <c r="E56" s="164">
        <v>15311</v>
      </c>
      <c r="F56" s="164">
        <v>19000</v>
      </c>
      <c r="G56" s="164">
        <v>21813</v>
      </c>
      <c r="H56" s="164">
        <v>20967</v>
      </c>
      <c r="I56" s="165">
        <f t="shared" si="13"/>
        <v>-3.8784211250171952E-2</v>
      </c>
      <c r="J56" s="164">
        <f t="shared" si="12"/>
        <v>-846</v>
      </c>
      <c r="K56" s="165">
        <f t="shared" si="14"/>
        <v>1.0623944293988814E-3</v>
      </c>
      <c r="L56" s="166"/>
    </row>
    <row r="57" spans="1:12" x14ac:dyDescent="0.25">
      <c r="A57" s="162"/>
      <c r="B57" s="163" t="s">
        <v>121</v>
      </c>
      <c r="C57" s="164">
        <v>1717</v>
      </c>
      <c r="D57" s="164">
        <v>3004</v>
      </c>
      <c r="E57" s="164">
        <v>3820</v>
      </c>
      <c r="F57" s="164">
        <v>3064</v>
      </c>
      <c r="G57" s="164">
        <v>3236</v>
      </c>
      <c r="H57" s="164">
        <v>4460</v>
      </c>
      <c r="I57" s="165">
        <f t="shared" si="13"/>
        <v>0.3782447466007417</v>
      </c>
      <c r="J57" s="164">
        <f t="shared" si="12"/>
        <v>1224</v>
      </c>
      <c r="K57" s="165">
        <f t="shared" si="14"/>
        <v>2.2598746387747466E-4</v>
      </c>
      <c r="L57" s="81"/>
    </row>
    <row r="58" spans="1:12" x14ac:dyDescent="0.25">
      <c r="A58" s="162"/>
      <c r="B58" s="163" t="s">
        <v>128</v>
      </c>
      <c r="C58" s="164">
        <v>733</v>
      </c>
      <c r="D58" s="164">
        <v>1863</v>
      </c>
      <c r="E58" s="164">
        <v>1177</v>
      </c>
      <c r="F58" s="164">
        <v>2365</v>
      </c>
      <c r="G58" s="164">
        <v>2598</v>
      </c>
      <c r="H58" s="164">
        <v>3306</v>
      </c>
      <c r="I58" s="165">
        <f t="shared" si="13"/>
        <v>0.27251732101616621</v>
      </c>
      <c r="J58" s="164">
        <f t="shared" si="12"/>
        <v>708</v>
      </c>
      <c r="K58" s="165">
        <f t="shared" si="14"/>
        <v>1.6751447434505185E-4</v>
      </c>
      <c r="L58" s="81"/>
    </row>
    <row r="59" spans="1:12" x14ac:dyDescent="0.25">
      <c r="A59" s="162"/>
      <c r="B59" s="163" t="s">
        <v>124</v>
      </c>
      <c r="C59" s="164">
        <v>502</v>
      </c>
      <c r="D59" s="164">
        <v>1397</v>
      </c>
      <c r="E59" s="164">
        <v>1553</v>
      </c>
      <c r="F59" s="164">
        <v>1156</v>
      </c>
      <c r="G59" s="164">
        <v>1818</v>
      </c>
      <c r="H59" s="164">
        <v>1627</v>
      </c>
      <c r="I59" s="165">
        <f t="shared" si="13"/>
        <v>-0.10506050605060502</v>
      </c>
      <c r="J59" s="164">
        <f t="shared" si="12"/>
        <v>-191</v>
      </c>
      <c r="K59" s="165">
        <f t="shared" si="14"/>
        <v>8.2439821463823154E-5</v>
      </c>
      <c r="L59" s="81"/>
    </row>
    <row r="60" spans="1:12" x14ac:dyDescent="0.25">
      <c r="A60" s="162"/>
      <c r="B60" s="163" t="s">
        <v>133</v>
      </c>
      <c r="C60" s="164">
        <v>194</v>
      </c>
      <c r="D60" s="164">
        <v>264</v>
      </c>
      <c r="E60" s="164">
        <v>526</v>
      </c>
      <c r="F60" s="164">
        <v>373</v>
      </c>
      <c r="G60" s="164">
        <v>624</v>
      </c>
      <c r="H60" s="164">
        <v>615</v>
      </c>
      <c r="I60" s="165">
        <f t="shared" si="13"/>
        <v>-1.4423076923076872E-2</v>
      </c>
      <c r="J60" s="164">
        <f t="shared" si="12"/>
        <v>-9</v>
      </c>
      <c r="K60" s="165">
        <f t="shared" si="14"/>
        <v>3.1161948494315453E-5</v>
      </c>
      <c r="L60" s="81"/>
    </row>
    <row r="61" spans="1:12" x14ac:dyDescent="0.25">
      <c r="A61" s="162" t="s">
        <v>149</v>
      </c>
      <c r="B61" s="163" t="s">
        <v>136</v>
      </c>
      <c r="C61" s="164">
        <v>72</v>
      </c>
      <c r="D61" s="164">
        <v>254</v>
      </c>
      <c r="E61" s="164">
        <v>443</v>
      </c>
      <c r="F61" s="164">
        <v>379</v>
      </c>
      <c r="G61" s="164">
        <v>1018</v>
      </c>
      <c r="H61" s="164">
        <v>463</v>
      </c>
      <c r="I61" s="165">
        <f t="shared" si="13"/>
        <v>-0.54518664047151277</v>
      </c>
      <c r="J61" s="164">
        <f t="shared" si="12"/>
        <v>-555</v>
      </c>
      <c r="K61" s="165">
        <f t="shared" si="14"/>
        <v>2.3460133581899274E-5</v>
      </c>
      <c r="L61" s="81"/>
    </row>
    <row r="62" spans="1:12" x14ac:dyDescent="0.25">
      <c r="A62" s="162" t="s">
        <v>150</v>
      </c>
      <c r="B62" s="168" t="s">
        <v>150</v>
      </c>
      <c r="C62" s="169">
        <f t="shared" ref="C62:H62" si="15">C54-SUM(C55:C61)</f>
        <v>8762</v>
      </c>
      <c r="D62" s="169">
        <f t="shared" si="15"/>
        <v>17596</v>
      </c>
      <c r="E62" s="169">
        <f t="shared" si="15"/>
        <v>19061</v>
      </c>
      <c r="F62" s="169">
        <f t="shared" si="15"/>
        <v>23530</v>
      </c>
      <c r="G62" s="169">
        <f t="shared" si="15"/>
        <v>24687</v>
      </c>
      <c r="H62" s="169">
        <f t="shared" si="15"/>
        <v>23168</v>
      </c>
      <c r="I62" s="170">
        <f t="shared" si="13"/>
        <v>-6.1530360108559168E-2</v>
      </c>
      <c r="J62" s="169">
        <f>H62-G62</f>
        <v>-1519</v>
      </c>
      <c r="K62" s="170">
        <f t="shared" si="14"/>
        <v>1.1739187361240657E-3</v>
      </c>
      <c r="L62" s="81"/>
    </row>
    <row r="63" spans="1:12" s="146" customFormat="1" x14ac:dyDescent="0.25">
      <c r="A63" s="162"/>
      <c r="B63" s="155" t="s">
        <v>49</v>
      </c>
      <c r="C63" s="153"/>
      <c r="D63" s="153"/>
      <c r="E63" s="153"/>
      <c r="F63" s="153"/>
      <c r="G63" s="153"/>
      <c r="H63" s="153"/>
      <c r="I63" s="153"/>
      <c r="J63" s="153"/>
      <c r="K63" s="153"/>
    </row>
    <row r="64" spans="1:12" x14ac:dyDescent="0.25">
      <c r="A64" s="162"/>
      <c r="B64" s="156" t="s">
        <v>73</v>
      </c>
      <c r="C64" s="176">
        <v>126687</v>
      </c>
      <c r="D64" s="176">
        <v>528576</v>
      </c>
      <c r="E64" s="176">
        <v>604354</v>
      </c>
      <c r="F64" s="176">
        <v>789627</v>
      </c>
      <c r="G64" s="176">
        <v>648050</v>
      </c>
      <c r="H64" s="176">
        <v>643441</v>
      </c>
      <c r="I64" s="177">
        <f>IFERROR(H64/G64-1,"-")</f>
        <v>-7.1121055474114847E-3</v>
      </c>
      <c r="J64" s="176">
        <f>H64-G64</f>
        <v>-4609</v>
      </c>
      <c r="K64" s="177">
        <f>H64/H$8</f>
        <v>3.2603049270131426E-2</v>
      </c>
      <c r="L64" s="81"/>
    </row>
    <row r="65" spans="1:12" x14ac:dyDescent="0.25">
      <c r="A65" s="162" t="s">
        <v>101</v>
      </c>
      <c r="B65" s="159" t="s">
        <v>102</v>
      </c>
      <c r="C65" s="160">
        <v>30458</v>
      </c>
      <c r="D65" s="160">
        <v>93842</v>
      </c>
      <c r="E65" s="160">
        <v>84187</v>
      </c>
      <c r="F65" s="160">
        <v>145276</v>
      </c>
      <c r="G65" s="160">
        <v>105740</v>
      </c>
      <c r="H65" s="160">
        <v>104040</v>
      </c>
      <c r="I65" s="161">
        <f>IFERROR(H65/G65-1,"-")</f>
        <v>-1.6077170418006381E-2</v>
      </c>
      <c r="J65" s="160">
        <f t="shared" ref="J65:J75" si="16">H65-G65</f>
        <v>-1700</v>
      </c>
      <c r="K65" s="161">
        <f>H65/H$8</f>
        <v>5.2716896282090728E-3</v>
      </c>
      <c r="L65" s="81"/>
    </row>
    <row r="66" spans="1:12" x14ac:dyDescent="0.25">
      <c r="A66" s="162" t="s">
        <v>108</v>
      </c>
      <c r="B66" s="163" t="s">
        <v>108</v>
      </c>
      <c r="C66" s="164">
        <v>27996</v>
      </c>
      <c r="D66" s="164">
        <v>68246</v>
      </c>
      <c r="E66" s="164">
        <v>51833</v>
      </c>
      <c r="F66" s="164">
        <v>69239</v>
      </c>
      <c r="G66" s="164">
        <v>26925</v>
      </c>
      <c r="H66" s="164">
        <v>38870</v>
      </c>
      <c r="I66" s="165">
        <f>IFERROR(H66/G66-1,"-")</f>
        <v>0.44363974001857009</v>
      </c>
      <c r="J66" s="164">
        <f t="shared" si="16"/>
        <v>11945</v>
      </c>
      <c r="K66" s="165">
        <f>H66/H$8</f>
        <v>1.9695364845106369E-3</v>
      </c>
      <c r="L66" s="81"/>
    </row>
    <row r="67" spans="1:12" x14ac:dyDescent="0.25">
      <c r="A67" s="162" t="s">
        <v>105</v>
      </c>
      <c r="B67" s="163" t="s">
        <v>105</v>
      </c>
      <c r="C67" s="164">
        <v>2462</v>
      </c>
      <c r="D67" s="164">
        <v>25596</v>
      </c>
      <c r="E67" s="164">
        <v>32354</v>
      </c>
      <c r="F67" s="164">
        <v>76037</v>
      </c>
      <c r="G67" s="164">
        <v>78815</v>
      </c>
      <c r="H67" s="164">
        <v>65170</v>
      </c>
      <c r="I67" s="165">
        <f>IFERROR(H67/G67-1,"-")</f>
        <v>-0.17312694284082975</v>
      </c>
      <c r="J67" s="164">
        <f t="shared" si="16"/>
        <v>-13645</v>
      </c>
      <c r="K67" s="165">
        <f>H67/H$8</f>
        <v>3.3021531436984359E-3</v>
      </c>
      <c r="L67" s="81"/>
    </row>
    <row r="68" spans="1:12" x14ac:dyDescent="0.25">
      <c r="A68" s="162"/>
      <c r="B68" s="159" t="s">
        <v>112</v>
      </c>
      <c r="C68" s="160">
        <v>96229</v>
      </c>
      <c r="D68" s="160">
        <v>434734</v>
      </c>
      <c r="E68" s="160">
        <v>520167</v>
      </c>
      <c r="F68" s="160">
        <v>644351</v>
      </c>
      <c r="G68" s="160">
        <v>542310</v>
      </c>
      <c r="H68" s="160">
        <v>539401</v>
      </c>
      <c r="I68" s="161">
        <f>IFERROR(H68/G68-1,"-")</f>
        <v>-5.3640906492596896E-3</v>
      </c>
      <c r="J68" s="160">
        <f t="shared" si="16"/>
        <v>-2909</v>
      </c>
      <c r="K68" s="161">
        <f>H68/H$8</f>
        <v>2.7331359641922355E-2</v>
      </c>
      <c r="L68" s="81"/>
    </row>
    <row r="69" spans="1:12" s="57" customFormat="1" x14ac:dyDescent="0.25">
      <c r="A69" s="162"/>
      <c r="B69" s="163" t="s">
        <v>115</v>
      </c>
      <c r="C69" s="164">
        <v>11731</v>
      </c>
      <c r="D69" s="164">
        <v>188897</v>
      </c>
      <c r="E69" s="164">
        <v>191234</v>
      </c>
      <c r="F69" s="164">
        <v>255984</v>
      </c>
      <c r="G69" s="164">
        <v>263981</v>
      </c>
      <c r="H69" s="164">
        <v>284740</v>
      </c>
      <c r="I69" s="165">
        <f t="shared" ref="I69:I76" si="17">IFERROR(H69/G69-1,"-")</f>
        <v>7.8638235327542549E-2</v>
      </c>
      <c r="J69" s="164">
        <f t="shared" si="16"/>
        <v>20759</v>
      </c>
      <c r="K69" s="165">
        <f t="shared" ref="K69:K76" si="18">H69/H$8</f>
        <v>1.4427728803693304E-2</v>
      </c>
      <c r="L69" s="166"/>
    </row>
    <row r="70" spans="1:12" s="57" customFormat="1" x14ac:dyDescent="0.25">
      <c r="A70" s="162"/>
      <c r="B70" s="163" t="s">
        <v>118</v>
      </c>
      <c r="C70" s="164">
        <v>19328</v>
      </c>
      <c r="D70" s="164">
        <v>39436</v>
      </c>
      <c r="E70" s="164">
        <v>51467</v>
      </c>
      <c r="F70" s="164">
        <v>44928</v>
      </c>
      <c r="G70" s="164">
        <v>44080</v>
      </c>
      <c r="H70" s="164">
        <v>38410</v>
      </c>
      <c r="I70" s="165">
        <f t="shared" si="17"/>
        <v>-0.12862976406533577</v>
      </c>
      <c r="J70" s="164">
        <f t="shared" si="16"/>
        <v>-5670</v>
      </c>
      <c r="K70" s="165">
        <f t="shared" si="18"/>
        <v>1.9462283604335879E-3</v>
      </c>
      <c r="L70" s="166"/>
    </row>
    <row r="71" spans="1:12" x14ac:dyDescent="0.25">
      <c r="A71" s="162"/>
      <c r="B71" s="163" t="s">
        <v>121</v>
      </c>
      <c r="C71" s="164">
        <v>7814</v>
      </c>
      <c r="D71" s="164">
        <v>57147</v>
      </c>
      <c r="E71" s="164">
        <v>63410</v>
      </c>
      <c r="F71" s="164">
        <v>76426</v>
      </c>
      <c r="G71" s="164">
        <v>38088</v>
      </c>
      <c r="H71" s="164">
        <v>33356</v>
      </c>
      <c r="I71" s="165">
        <f t="shared" si="17"/>
        <v>-0.12423860533501363</v>
      </c>
      <c r="J71" s="164">
        <f t="shared" si="16"/>
        <v>-4732</v>
      </c>
      <c r="K71" s="165">
        <f t="shared" si="18"/>
        <v>1.69014301459575E-3</v>
      </c>
      <c r="L71" s="81"/>
    </row>
    <row r="72" spans="1:12" x14ac:dyDescent="0.25">
      <c r="A72" s="162"/>
      <c r="B72" s="163" t="s">
        <v>128</v>
      </c>
      <c r="C72" s="164">
        <v>3662</v>
      </c>
      <c r="D72" s="164">
        <v>13982</v>
      </c>
      <c r="E72" s="164">
        <v>13985</v>
      </c>
      <c r="F72" s="164">
        <v>24986</v>
      </c>
      <c r="G72" s="164">
        <v>21212</v>
      </c>
      <c r="H72" s="164">
        <v>22896</v>
      </c>
      <c r="I72" s="165">
        <f t="shared" si="17"/>
        <v>7.9389025080143227E-2</v>
      </c>
      <c r="J72" s="164">
        <f t="shared" si="16"/>
        <v>1684</v>
      </c>
      <c r="K72" s="165">
        <f t="shared" si="18"/>
        <v>1.1601365410176367E-3</v>
      </c>
      <c r="L72" s="81"/>
    </row>
    <row r="73" spans="1:12" x14ac:dyDescent="0.25">
      <c r="A73" s="162"/>
      <c r="B73" s="163" t="s">
        <v>124</v>
      </c>
      <c r="C73" s="164">
        <v>9029</v>
      </c>
      <c r="D73" s="164">
        <v>13550</v>
      </c>
      <c r="E73" s="164">
        <v>10040</v>
      </c>
      <c r="F73" s="164">
        <v>16042</v>
      </c>
      <c r="G73" s="164">
        <v>11556</v>
      </c>
      <c r="H73" s="164">
        <v>9650</v>
      </c>
      <c r="I73" s="165">
        <f t="shared" si="17"/>
        <v>-0.16493596400138455</v>
      </c>
      <c r="J73" s="164">
        <f t="shared" si="16"/>
        <v>-1906</v>
      </c>
      <c r="K73" s="165">
        <f t="shared" si="18"/>
        <v>4.8896390726852704E-4</v>
      </c>
      <c r="L73" s="81"/>
    </row>
    <row r="74" spans="1:12" x14ac:dyDescent="0.25">
      <c r="A74" s="162"/>
      <c r="B74" s="163" t="s">
        <v>133</v>
      </c>
      <c r="C74" s="164">
        <v>2</v>
      </c>
      <c r="D74" s="164">
        <v>7736</v>
      </c>
      <c r="E74" s="164">
        <v>22949</v>
      </c>
      <c r="F74" s="164">
        <v>17330</v>
      </c>
      <c r="G74" s="164">
        <v>11571</v>
      </c>
      <c r="H74" s="164">
        <v>8120</v>
      </c>
      <c r="I74" s="165">
        <f t="shared" si="17"/>
        <v>-0.29824561403508776</v>
      </c>
      <c r="J74" s="164">
        <f t="shared" si="16"/>
        <v>-3451</v>
      </c>
      <c r="K74" s="165">
        <f t="shared" si="18"/>
        <v>4.114390597948642E-4</v>
      </c>
      <c r="L74" s="81"/>
    </row>
    <row r="75" spans="1:12" x14ac:dyDescent="0.25">
      <c r="A75" s="162" t="s">
        <v>149</v>
      </c>
      <c r="B75" s="163" t="s">
        <v>136</v>
      </c>
      <c r="C75" s="164">
        <v>0</v>
      </c>
      <c r="D75" s="164">
        <v>2578</v>
      </c>
      <c r="E75" s="164">
        <v>6712</v>
      </c>
      <c r="F75" s="164">
        <v>11802</v>
      </c>
      <c r="G75" s="164">
        <v>14949</v>
      </c>
      <c r="H75" s="164">
        <v>14207</v>
      </c>
      <c r="I75" s="165">
        <f t="shared" si="17"/>
        <v>-4.9635427118870812E-2</v>
      </c>
      <c r="J75" s="164">
        <f t="shared" si="16"/>
        <v>-742</v>
      </c>
      <c r="K75" s="165">
        <f t="shared" si="18"/>
        <v>7.1986634513616205E-4</v>
      </c>
      <c r="L75" s="81"/>
    </row>
    <row r="76" spans="1:12" x14ac:dyDescent="0.25">
      <c r="A76" s="162" t="s">
        <v>150</v>
      </c>
      <c r="B76" s="168" t="s">
        <v>150</v>
      </c>
      <c r="C76" s="169">
        <f t="shared" ref="C76:H76" si="19">C68-SUM(C69:C75)</f>
        <v>44663</v>
      </c>
      <c r="D76" s="169">
        <f t="shared" si="19"/>
        <v>111408</v>
      </c>
      <c r="E76" s="169">
        <f t="shared" si="19"/>
        <v>160370</v>
      </c>
      <c r="F76" s="169">
        <f t="shared" si="19"/>
        <v>196853</v>
      </c>
      <c r="G76" s="169">
        <f t="shared" si="19"/>
        <v>136873</v>
      </c>
      <c r="H76" s="169">
        <f t="shared" si="19"/>
        <v>128022</v>
      </c>
      <c r="I76" s="170">
        <f t="shared" si="17"/>
        <v>-6.4665785070832094E-2</v>
      </c>
      <c r="J76" s="169">
        <f>H76-G76</f>
        <v>-8851</v>
      </c>
      <c r="K76" s="170">
        <f t="shared" si="18"/>
        <v>6.4868536099825253E-3</v>
      </c>
      <c r="L76" s="81"/>
    </row>
    <row r="77" spans="1:12" s="146" customFormat="1" x14ac:dyDescent="0.25">
      <c r="A77" s="162"/>
      <c r="B77" s="155" t="s">
        <v>50</v>
      </c>
      <c r="C77" s="153"/>
      <c r="D77" s="153"/>
      <c r="E77" s="153"/>
      <c r="F77" s="153"/>
      <c r="G77" s="153"/>
      <c r="H77" s="153"/>
      <c r="I77" s="153"/>
      <c r="J77" s="153"/>
      <c r="K77" s="153"/>
    </row>
    <row r="78" spans="1:12" x14ac:dyDescent="0.25">
      <c r="A78" s="162"/>
      <c r="B78" s="156" t="s">
        <v>73</v>
      </c>
      <c r="C78" s="176">
        <v>527002</v>
      </c>
      <c r="D78" s="176">
        <v>2370169</v>
      </c>
      <c r="E78" s="176">
        <v>2888398</v>
      </c>
      <c r="F78" s="176">
        <v>3278654</v>
      </c>
      <c r="G78" s="176">
        <v>3255836</v>
      </c>
      <c r="H78" s="176">
        <v>3059823</v>
      </c>
      <c r="I78" s="177">
        <f>IFERROR(H78/G78-1,"-")</f>
        <v>-6.0203585192865949E-2</v>
      </c>
      <c r="J78" s="176">
        <f>H78-G78</f>
        <v>-196013</v>
      </c>
      <c r="K78" s="177">
        <f>H78/H$8</f>
        <v>0.15504072638653948</v>
      </c>
      <c r="L78" s="81"/>
    </row>
    <row r="79" spans="1:12" x14ac:dyDescent="0.25">
      <c r="A79" s="162" t="s">
        <v>101</v>
      </c>
      <c r="B79" s="159" t="s">
        <v>102</v>
      </c>
      <c r="C79" s="160">
        <v>253803</v>
      </c>
      <c r="D79" s="160">
        <v>942866</v>
      </c>
      <c r="E79" s="160">
        <v>1003332</v>
      </c>
      <c r="F79" s="160">
        <v>962907</v>
      </c>
      <c r="G79" s="160">
        <v>989472</v>
      </c>
      <c r="H79" s="160">
        <v>998310</v>
      </c>
      <c r="I79" s="161">
        <f>IFERROR(H79/G79-1,"-")</f>
        <v>8.9320364800620222E-3</v>
      </c>
      <c r="J79" s="160">
        <f t="shared" ref="J79:J89" si="20">H79-G79</f>
        <v>8838</v>
      </c>
      <c r="K79" s="161">
        <f>H79/H$8</f>
        <v>5.0584202929040749E-2</v>
      </c>
      <c r="L79" s="81"/>
    </row>
    <row r="80" spans="1:12" x14ac:dyDescent="0.25">
      <c r="A80" s="162" t="s">
        <v>108</v>
      </c>
      <c r="B80" s="163" t="s">
        <v>108</v>
      </c>
      <c r="C80" s="164">
        <v>73899</v>
      </c>
      <c r="D80" s="164">
        <v>144660</v>
      </c>
      <c r="E80" s="164">
        <v>162748</v>
      </c>
      <c r="F80" s="164">
        <v>169092</v>
      </c>
      <c r="G80" s="164">
        <v>129770</v>
      </c>
      <c r="H80" s="164">
        <v>167458</v>
      </c>
      <c r="I80" s="165">
        <f>IFERROR(H80/G80-1,"-")</f>
        <v>0.2904215149880558</v>
      </c>
      <c r="J80" s="164">
        <f t="shared" si="20"/>
        <v>37688</v>
      </c>
      <c r="K80" s="165">
        <f>H80/H$8</f>
        <v>8.4850692210749219E-3</v>
      </c>
      <c r="L80" s="81"/>
    </row>
    <row r="81" spans="1:12" x14ac:dyDescent="0.25">
      <c r="A81" s="162" t="s">
        <v>105</v>
      </c>
      <c r="B81" s="163" t="s">
        <v>105</v>
      </c>
      <c r="C81" s="164">
        <v>179904</v>
      </c>
      <c r="D81" s="164">
        <v>798206</v>
      </c>
      <c r="E81" s="164">
        <v>840584</v>
      </c>
      <c r="F81" s="164">
        <v>793815</v>
      </c>
      <c r="G81" s="164">
        <v>859702</v>
      </c>
      <c r="H81" s="164">
        <v>830852</v>
      </c>
      <c r="I81" s="165">
        <f>IFERROR(H81/G81-1,"-")</f>
        <v>-3.3558139913598017E-2</v>
      </c>
      <c r="J81" s="164">
        <f t="shared" si="20"/>
        <v>-28850</v>
      </c>
      <c r="K81" s="165">
        <f>H81/H$8</f>
        <v>4.2099133707965822E-2</v>
      </c>
      <c r="L81" s="81"/>
    </row>
    <row r="82" spans="1:12" x14ac:dyDescent="0.25">
      <c r="A82" s="162"/>
      <c r="B82" s="159" t="s">
        <v>112</v>
      </c>
      <c r="C82" s="160">
        <v>273199</v>
      </c>
      <c r="D82" s="160">
        <v>1427303</v>
      </c>
      <c r="E82" s="160">
        <v>1885066</v>
      </c>
      <c r="F82" s="160">
        <v>2315747</v>
      </c>
      <c r="G82" s="160">
        <v>2266364</v>
      </c>
      <c r="H82" s="160">
        <v>2061513</v>
      </c>
      <c r="I82" s="161">
        <f>IFERROR(H82/G82-1,"-")</f>
        <v>-9.0387510567587537E-2</v>
      </c>
      <c r="J82" s="160">
        <f t="shared" si="20"/>
        <v>-204851</v>
      </c>
      <c r="K82" s="161">
        <f>H82/H$8</f>
        <v>0.10445652345749876</v>
      </c>
      <c r="L82" s="81"/>
    </row>
    <row r="83" spans="1:12" s="57" customFormat="1" x14ac:dyDescent="0.25">
      <c r="A83" s="162"/>
      <c r="B83" s="163" t="s">
        <v>115</v>
      </c>
      <c r="C83" s="164">
        <v>19180</v>
      </c>
      <c r="D83" s="164">
        <v>260585</v>
      </c>
      <c r="E83" s="164">
        <v>342966</v>
      </c>
      <c r="F83" s="164">
        <v>433545</v>
      </c>
      <c r="G83" s="164">
        <v>420478</v>
      </c>
      <c r="H83" s="164">
        <v>427870</v>
      </c>
      <c r="I83" s="165">
        <f t="shared" ref="I83:I90" si="21">IFERROR(H83/G83-1,"-")</f>
        <v>1.7579992294483926E-2</v>
      </c>
      <c r="J83" s="164">
        <f t="shared" si="20"/>
        <v>7392</v>
      </c>
      <c r="K83" s="165">
        <f t="shared" ref="K83:K90" si="22">H83/H$8</f>
        <v>2.1680102280102038E-2</v>
      </c>
      <c r="L83" s="166"/>
    </row>
    <row r="84" spans="1:12" s="57" customFormat="1" x14ac:dyDescent="0.25">
      <c r="A84" s="162"/>
      <c r="B84" s="163" t="s">
        <v>118</v>
      </c>
      <c r="C84" s="164">
        <v>86240</v>
      </c>
      <c r="D84" s="164">
        <v>541030</v>
      </c>
      <c r="E84" s="164">
        <v>683013</v>
      </c>
      <c r="F84" s="164">
        <v>815932</v>
      </c>
      <c r="G84" s="164">
        <v>760231</v>
      </c>
      <c r="H84" s="164">
        <v>651096</v>
      </c>
      <c r="I84" s="165">
        <f t="shared" si="21"/>
        <v>-0.143555051030542</v>
      </c>
      <c r="J84" s="164">
        <f t="shared" si="20"/>
        <v>-109135</v>
      </c>
      <c r="K84" s="165">
        <f t="shared" si="22"/>
        <v>3.2990926856674492E-2</v>
      </c>
      <c r="L84" s="166"/>
    </row>
    <row r="85" spans="1:12" x14ac:dyDescent="0.25">
      <c r="A85" s="162"/>
      <c r="B85" s="163" t="s">
        <v>121</v>
      </c>
      <c r="C85" s="164">
        <v>37513</v>
      </c>
      <c r="D85" s="164">
        <v>100552</v>
      </c>
      <c r="E85" s="164">
        <v>139217</v>
      </c>
      <c r="F85" s="164">
        <v>222350</v>
      </c>
      <c r="G85" s="164">
        <v>225311</v>
      </c>
      <c r="H85" s="164">
        <v>216318</v>
      </c>
      <c r="I85" s="165">
        <f t="shared" si="21"/>
        <v>-3.9913719259157321E-2</v>
      </c>
      <c r="J85" s="164">
        <f t="shared" si="20"/>
        <v>-8993</v>
      </c>
      <c r="K85" s="165">
        <f t="shared" si="22"/>
        <v>1.0960797356737122E-2</v>
      </c>
      <c r="L85" s="81"/>
    </row>
    <row r="86" spans="1:12" x14ac:dyDescent="0.25">
      <c r="A86" s="162"/>
      <c r="B86" s="163" t="s">
        <v>128</v>
      </c>
      <c r="C86" s="164">
        <v>6493</v>
      </c>
      <c r="D86" s="164">
        <v>37868</v>
      </c>
      <c r="E86" s="164">
        <v>42651</v>
      </c>
      <c r="F86" s="164">
        <v>67874</v>
      </c>
      <c r="G86" s="164">
        <v>64544</v>
      </c>
      <c r="H86" s="164">
        <v>56198</v>
      </c>
      <c r="I86" s="165">
        <f t="shared" si="21"/>
        <v>-0.12930713931581561</v>
      </c>
      <c r="J86" s="164">
        <f t="shared" si="20"/>
        <v>-8346</v>
      </c>
      <c r="K86" s="165">
        <f t="shared" si="22"/>
        <v>2.8475433845260808E-3</v>
      </c>
      <c r="L86" s="81"/>
    </row>
    <row r="87" spans="1:12" x14ac:dyDescent="0.25">
      <c r="A87" s="162"/>
      <c r="B87" s="163" t="s">
        <v>124</v>
      </c>
      <c r="C87" s="164">
        <v>5783</v>
      </c>
      <c r="D87" s="164">
        <v>18858</v>
      </c>
      <c r="E87" s="164">
        <v>23559</v>
      </c>
      <c r="F87" s="164">
        <v>32605</v>
      </c>
      <c r="G87" s="164">
        <v>31676</v>
      </c>
      <c r="H87" s="164">
        <v>37837</v>
      </c>
      <c r="I87" s="165">
        <f t="shared" si="21"/>
        <v>0.19450056825356743</v>
      </c>
      <c r="J87" s="164">
        <f t="shared" si="20"/>
        <v>6161</v>
      </c>
      <c r="K87" s="165">
        <f t="shared" si="22"/>
        <v>1.9171945450071769E-3</v>
      </c>
      <c r="L87" s="81"/>
    </row>
    <row r="88" spans="1:12" x14ac:dyDescent="0.25">
      <c r="A88" s="162"/>
      <c r="B88" s="163" t="s">
        <v>133</v>
      </c>
      <c r="C88" s="164">
        <v>1862</v>
      </c>
      <c r="D88" s="164">
        <v>31874</v>
      </c>
      <c r="E88" s="164">
        <v>48437</v>
      </c>
      <c r="F88" s="164">
        <v>43944</v>
      </c>
      <c r="G88" s="164">
        <v>45980</v>
      </c>
      <c r="H88" s="164">
        <v>39159</v>
      </c>
      <c r="I88" s="165">
        <f t="shared" si="21"/>
        <v>-0.14834710743801649</v>
      </c>
      <c r="J88" s="164">
        <f t="shared" si="20"/>
        <v>-6821</v>
      </c>
      <c r="K88" s="165">
        <f t="shared" si="22"/>
        <v>1.9841800668112175E-3</v>
      </c>
      <c r="L88" s="81"/>
    </row>
    <row r="89" spans="1:12" x14ac:dyDescent="0.25">
      <c r="A89" s="162" t="s">
        <v>149</v>
      </c>
      <c r="B89" s="163" t="s">
        <v>136</v>
      </c>
      <c r="C89" s="164">
        <v>3721</v>
      </c>
      <c r="D89" s="164">
        <v>27744</v>
      </c>
      <c r="E89" s="164">
        <v>48329</v>
      </c>
      <c r="F89" s="164">
        <v>51677</v>
      </c>
      <c r="G89" s="164">
        <v>39810</v>
      </c>
      <c r="H89" s="164">
        <v>42722</v>
      </c>
      <c r="I89" s="165">
        <f t="shared" si="21"/>
        <v>7.3147450389349444E-2</v>
      </c>
      <c r="J89" s="164">
        <f t="shared" si="20"/>
        <v>2912</v>
      </c>
      <c r="K89" s="165">
        <f t="shared" si="22"/>
        <v>2.1647166887384466E-3</v>
      </c>
      <c r="L89" s="81"/>
    </row>
    <row r="90" spans="1:12" x14ac:dyDescent="0.25">
      <c r="A90" s="162" t="s">
        <v>150</v>
      </c>
      <c r="B90" s="168" t="s">
        <v>150</v>
      </c>
      <c r="C90" s="169">
        <f t="shared" ref="C90:H90" si="23">C82-SUM(C83:C89)</f>
        <v>112407</v>
      </c>
      <c r="D90" s="169">
        <f t="shared" si="23"/>
        <v>408792</v>
      </c>
      <c r="E90" s="169">
        <f t="shared" si="23"/>
        <v>556894</v>
      </c>
      <c r="F90" s="169">
        <f t="shared" si="23"/>
        <v>647820</v>
      </c>
      <c r="G90" s="169">
        <f t="shared" si="23"/>
        <v>678334</v>
      </c>
      <c r="H90" s="169">
        <f t="shared" si="23"/>
        <v>590313</v>
      </c>
      <c r="I90" s="170">
        <f t="shared" si="21"/>
        <v>-0.12976056043188167</v>
      </c>
      <c r="J90" s="169">
        <f>H90-G90</f>
        <v>-88021</v>
      </c>
      <c r="K90" s="170">
        <f t="shared" si="22"/>
        <v>2.9911062278902174E-2</v>
      </c>
      <c r="L90" s="81"/>
    </row>
    <row r="91" spans="1:12" s="146" customFormat="1" x14ac:dyDescent="0.25">
      <c r="A91" s="162"/>
      <c r="B91" s="155" t="s">
        <v>51</v>
      </c>
      <c r="C91" s="153"/>
      <c r="D91" s="153"/>
      <c r="E91" s="153"/>
      <c r="F91" s="153"/>
      <c r="G91" s="153"/>
      <c r="H91" s="153"/>
      <c r="I91" s="153"/>
      <c r="J91" s="153"/>
      <c r="K91" s="153"/>
    </row>
    <row r="92" spans="1:12" x14ac:dyDescent="0.25">
      <c r="A92" s="162"/>
      <c r="B92" s="156" t="s">
        <v>73</v>
      </c>
      <c r="C92" s="176">
        <v>31710</v>
      </c>
      <c r="D92" s="176">
        <v>79758</v>
      </c>
      <c r="E92" s="176">
        <v>89670</v>
      </c>
      <c r="F92" s="176">
        <v>91218</v>
      </c>
      <c r="G92" s="176">
        <v>88503</v>
      </c>
      <c r="H92" s="176">
        <v>79471</v>
      </c>
      <c r="I92" s="177">
        <f>IFERROR(H92/G92-1,"-")</f>
        <v>-0.10205303775013275</v>
      </c>
      <c r="J92" s="176">
        <f>H92-G92</f>
        <v>-9032</v>
      </c>
      <c r="K92" s="177">
        <f>H92/H$8</f>
        <v>4.0267824533199081E-3</v>
      </c>
      <c r="L92" s="81"/>
    </row>
    <row r="93" spans="1:12" x14ac:dyDescent="0.25">
      <c r="A93" s="162" t="s">
        <v>101</v>
      </c>
      <c r="B93" s="159" t="s">
        <v>102</v>
      </c>
      <c r="C93" s="160">
        <v>16403</v>
      </c>
      <c r="D93" s="160">
        <v>40667</v>
      </c>
      <c r="E93" s="160">
        <v>44097</v>
      </c>
      <c r="F93" s="160">
        <v>39604</v>
      </c>
      <c r="G93" s="160">
        <v>40990</v>
      </c>
      <c r="H93" s="160">
        <v>37214</v>
      </c>
      <c r="I93" s="161">
        <f>IFERROR(H93/G93-1,"-")</f>
        <v>-9.2120029275433057E-2</v>
      </c>
      <c r="J93" s="160">
        <f t="shared" ref="J93:J103" si="24">H93-G93</f>
        <v>-3776</v>
      </c>
      <c r="K93" s="161">
        <f>H93/H$8</f>
        <v>1.8856272378332606E-3</v>
      </c>
      <c r="L93" s="81"/>
    </row>
    <row r="94" spans="1:12" x14ac:dyDescent="0.25">
      <c r="A94" s="162" t="s">
        <v>108</v>
      </c>
      <c r="B94" s="163" t="s">
        <v>108</v>
      </c>
      <c r="C94" s="164">
        <v>8602</v>
      </c>
      <c r="D94" s="164">
        <v>17927</v>
      </c>
      <c r="E94" s="164">
        <v>11336</v>
      </c>
      <c r="F94" s="164">
        <v>10885</v>
      </c>
      <c r="G94" s="164">
        <v>13609</v>
      </c>
      <c r="H94" s="164">
        <v>14039</v>
      </c>
      <c r="I94" s="165">
        <f>IFERROR(H94/G94-1,"-")</f>
        <v>3.1596737453156054E-2</v>
      </c>
      <c r="J94" s="164">
        <f t="shared" si="24"/>
        <v>430</v>
      </c>
      <c r="K94" s="165">
        <f>H94/H$8</f>
        <v>7.1135381286454409E-4</v>
      </c>
      <c r="L94" s="81"/>
    </row>
    <row r="95" spans="1:12" x14ac:dyDescent="0.25">
      <c r="A95" s="162" t="s">
        <v>105</v>
      </c>
      <c r="B95" s="163" t="s">
        <v>105</v>
      </c>
      <c r="C95" s="164">
        <v>7801</v>
      </c>
      <c r="D95" s="164">
        <v>22740</v>
      </c>
      <c r="E95" s="164">
        <v>32761</v>
      </c>
      <c r="F95" s="164">
        <v>28719</v>
      </c>
      <c r="G95" s="164">
        <v>27381</v>
      </c>
      <c r="H95" s="164">
        <v>23175</v>
      </c>
      <c r="I95" s="165">
        <f>IFERROR(H95/G95-1,"-")</f>
        <v>-0.15361016763449109</v>
      </c>
      <c r="J95" s="164">
        <f t="shared" si="24"/>
        <v>-4206</v>
      </c>
      <c r="K95" s="165">
        <f>H95/H$8</f>
        <v>1.1742734249687165E-3</v>
      </c>
      <c r="L95" s="81"/>
    </row>
    <row r="96" spans="1:12" x14ac:dyDescent="0.25">
      <c r="A96" s="162"/>
      <c r="B96" s="159" t="s">
        <v>112</v>
      </c>
      <c r="C96" s="160">
        <v>15307</v>
      </c>
      <c r="D96" s="160">
        <v>39091</v>
      </c>
      <c r="E96" s="160">
        <v>45573</v>
      </c>
      <c r="F96" s="160">
        <v>51614</v>
      </c>
      <c r="G96" s="160">
        <v>47513</v>
      </c>
      <c r="H96" s="160">
        <v>42257</v>
      </c>
      <c r="I96" s="161">
        <f>IFERROR(H96/G96-1,"-")</f>
        <v>-0.11062235598678261</v>
      </c>
      <c r="J96" s="160">
        <f t="shared" si="24"/>
        <v>-5256</v>
      </c>
      <c r="K96" s="161">
        <f>H96/H$8</f>
        <v>2.1411552154866472E-3</v>
      </c>
      <c r="L96" s="81"/>
    </row>
    <row r="97" spans="1:12" s="57" customFormat="1" x14ac:dyDescent="0.25">
      <c r="A97" s="162"/>
      <c r="B97" s="163" t="s">
        <v>115</v>
      </c>
      <c r="C97" s="164">
        <v>533</v>
      </c>
      <c r="D97" s="164">
        <v>5474</v>
      </c>
      <c r="E97" s="164">
        <v>7202</v>
      </c>
      <c r="F97" s="164">
        <v>8421</v>
      </c>
      <c r="G97" s="164">
        <v>6326</v>
      </c>
      <c r="H97" s="164">
        <v>6017</v>
      </c>
      <c r="I97" s="165">
        <f t="shared" ref="I97:I104" si="25">IFERROR(H97/G97-1,"-")</f>
        <v>-4.8846032247865989E-2</v>
      </c>
      <c r="J97" s="164">
        <f t="shared" si="24"/>
        <v>-309</v>
      </c>
      <c r="K97" s="165">
        <f t="shared" ref="K97:K104" si="26">H97/H$8</f>
        <v>3.0488039689479036E-4</v>
      </c>
      <c r="L97" s="166"/>
    </row>
    <row r="98" spans="1:12" s="57" customFormat="1" x14ac:dyDescent="0.25">
      <c r="A98" s="162"/>
      <c r="B98" s="163" t="s">
        <v>118</v>
      </c>
      <c r="C98" s="164">
        <v>4748</v>
      </c>
      <c r="D98" s="164">
        <v>12221</v>
      </c>
      <c r="E98" s="164">
        <v>13422</v>
      </c>
      <c r="F98" s="164">
        <v>15403</v>
      </c>
      <c r="G98" s="164">
        <v>13877</v>
      </c>
      <c r="H98" s="164">
        <v>13323</v>
      </c>
      <c r="I98" s="165">
        <f t="shared" si="25"/>
        <v>-3.9922173380413595E-2</v>
      </c>
      <c r="J98" s="164">
        <f t="shared" si="24"/>
        <v>-554</v>
      </c>
      <c r="K98" s="165">
        <f t="shared" si="26"/>
        <v>6.7507421104026795E-4</v>
      </c>
      <c r="L98" s="166"/>
    </row>
    <row r="99" spans="1:12" x14ac:dyDescent="0.25">
      <c r="A99" s="162"/>
      <c r="B99" s="163" t="s">
        <v>121</v>
      </c>
      <c r="C99" s="164">
        <v>3957</v>
      </c>
      <c r="D99" s="164">
        <v>4754</v>
      </c>
      <c r="E99" s="164">
        <v>5298</v>
      </c>
      <c r="F99" s="164">
        <v>6232</v>
      </c>
      <c r="G99" s="164">
        <v>5585</v>
      </c>
      <c r="H99" s="164">
        <v>5217</v>
      </c>
      <c r="I99" s="165">
        <f t="shared" si="25"/>
        <v>-6.5890778871978473E-2</v>
      </c>
      <c r="J99" s="164">
        <f t="shared" si="24"/>
        <v>-368</v>
      </c>
      <c r="K99" s="165">
        <f t="shared" si="26"/>
        <v>2.6434452893470524E-4</v>
      </c>
      <c r="L99" s="81"/>
    </row>
    <row r="100" spans="1:12" x14ac:dyDescent="0.25">
      <c r="A100" s="162"/>
      <c r="B100" s="163" t="s">
        <v>128</v>
      </c>
      <c r="C100" s="164">
        <v>265</v>
      </c>
      <c r="D100" s="164">
        <v>2720</v>
      </c>
      <c r="E100" s="164">
        <v>2323</v>
      </c>
      <c r="F100" s="164">
        <v>2822</v>
      </c>
      <c r="G100" s="164">
        <v>1917</v>
      </c>
      <c r="H100" s="164">
        <v>1688</v>
      </c>
      <c r="I100" s="165">
        <f t="shared" si="25"/>
        <v>-0.11945748565466874</v>
      </c>
      <c r="J100" s="164">
        <f t="shared" si="24"/>
        <v>-229</v>
      </c>
      <c r="K100" s="165">
        <f t="shared" si="26"/>
        <v>8.5530681395779647E-5</v>
      </c>
      <c r="L100" s="81"/>
    </row>
    <row r="101" spans="1:12" x14ac:dyDescent="0.25">
      <c r="A101" s="162"/>
      <c r="B101" s="163" t="s">
        <v>124</v>
      </c>
      <c r="C101" s="164">
        <v>519</v>
      </c>
      <c r="D101" s="164">
        <v>1281</v>
      </c>
      <c r="E101" s="164">
        <v>986</v>
      </c>
      <c r="F101" s="164">
        <v>1399</v>
      </c>
      <c r="G101" s="164">
        <v>1787</v>
      </c>
      <c r="H101" s="164">
        <v>1475</v>
      </c>
      <c r="I101" s="165">
        <f t="shared" si="25"/>
        <v>-0.17459429210968103</v>
      </c>
      <c r="J101" s="164">
        <f t="shared" si="24"/>
        <v>-312</v>
      </c>
      <c r="K101" s="165">
        <f t="shared" si="26"/>
        <v>7.4738006551406975E-5</v>
      </c>
      <c r="L101" s="81"/>
    </row>
    <row r="102" spans="1:12" x14ac:dyDescent="0.25">
      <c r="A102" s="162"/>
      <c r="B102" s="163" t="s">
        <v>133</v>
      </c>
      <c r="C102" s="164">
        <v>40</v>
      </c>
      <c r="D102" s="164">
        <v>540</v>
      </c>
      <c r="E102" s="164">
        <v>278</v>
      </c>
      <c r="F102" s="164">
        <v>592</v>
      </c>
      <c r="G102" s="164">
        <v>355</v>
      </c>
      <c r="H102" s="164">
        <v>371</v>
      </c>
      <c r="I102" s="165">
        <f t="shared" si="25"/>
        <v>4.5070422535211208E-2</v>
      </c>
      <c r="J102" s="164">
        <f t="shared" si="24"/>
        <v>16</v>
      </c>
      <c r="K102" s="165">
        <f t="shared" si="26"/>
        <v>1.8798508766489484E-5</v>
      </c>
      <c r="L102" s="81"/>
    </row>
    <row r="103" spans="1:12" x14ac:dyDescent="0.25">
      <c r="A103" s="162" t="s">
        <v>149</v>
      </c>
      <c r="B103" s="163" t="s">
        <v>136</v>
      </c>
      <c r="C103" s="164">
        <v>118</v>
      </c>
      <c r="D103" s="164">
        <v>227</v>
      </c>
      <c r="E103" s="164">
        <v>606</v>
      </c>
      <c r="F103" s="164">
        <v>824</v>
      </c>
      <c r="G103" s="164">
        <v>453</v>
      </c>
      <c r="H103" s="164">
        <v>384</v>
      </c>
      <c r="I103" s="165">
        <f t="shared" si="25"/>
        <v>-0.15231788079470199</v>
      </c>
      <c r="J103" s="164">
        <f t="shared" si="24"/>
        <v>-69</v>
      </c>
      <c r="K103" s="165">
        <f t="shared" si="26"/>
        <v>1.9457216620840867E-5</v>
      </c>
      <c r="L103" s="81"/>
    </row>
    <row r="104" spans="1:12" x14ac:dyDescent="0.25">
      <c r="A104" s="162" t="s">
        <v>150</v>
      </c>
      <c r="B104" s="168" t="s">
        <v>150</v>
      </c>
      <c r="C104" s="169">
        <f t="shared" ref="C104:H104" si="27">C96-SUM(C97:C103)</f>
        <v>5127</v>
      </c>
      <c r="D104" s="169">
        <f t="shared" si="27"/>
        <v>11874</v>
      </c>
      <c r="E104" s="169">
        <f t="shared" si="27"/>
        <v>15458</v>
      </c>
      <c r="F104" s="169">
        <f t="shared" si="27"/>
        <v>15921</v>
      </c>
      <c r="G104" s="169">
        <f t="shared" si="27"/>
        <v>17213</v>
      </c>
      <c r="H104" s="169">
        <f t="shared" si="27"/>
        <v>13782</v>
      </c>
      <c r="I104" s="170">
        <f t="shared" si="25"/>
        <v>-0.19932609074536689</v>
      </c>
      <c r="J104" s="169">
        <f>H104-G104</f>
        <v>-3431</v>
      </c>
      <c r="K104" s="170">
        <f t="shared" si="26"/>
        <v>6.983316652823668E-4</v>
      </c>
      <c r="L104" s="81"/>
    </row>
    <row r="105" spans="1:12" s="146" customFormat="1" x14ac:dyDescent="0.25">
      <c r="A105" s="162"/>
      <c r="B105" s="155" t="s">
        <v>52</v>
      </c>
      <c r="C105" s="153"/>
      <c r="D105" s="153"/>
      <c r="E105" s="153"/>
      <c r="F105" s="153"/>
      <c r="G105" s="153"/>
      <c r="H105" s="153"/>
      <c r="I105" s="153"/>
      <c r="J105" s="153"/>
      <c r="K105" s="153"/>
    </row>
    <row r="106" spans="1:12" x14ac:dyDescent="0.25">
      <c r="A106" s="162"/>
      <c r="B106" s="156" t="s">
        <v>73</v>
      </c>
      <c r="C106" s="176">
        <v>272756</v>
      </c>
      <c r="D106" s="176">
        <v>716456</v>
      </c>
      <c r="E106" s="176">
        <v>803223</v>
      </c>
      <c r="F106" s="176">
        <v>845212</v>
      </c>
      <c r="G106" s="176">
        <v>843024</v>
      </c>
      <c r="H106" s="176">
        <v>729932</v>
      </c>
      <c r="I106" s="177">
        <f>IFERROR(H106/G106-1,"-")</f>
        <v>-0.13415039192241263</v>
      </c>
      <c r="J106" s="176">
        <f>H106-G106</f>
        <v>-113092</v>
      </c>
      <c r="K106" s="177">
        <f>H106/H$8</f>
        <v>3.6985533964801087E-2</v>
      </c>
      <c r="L106" s="81"/>
    </row>
    <row r="107" spans="1:12" x14ac:dyDescent="0.25">
      <c r="A107" s="162" t="s">
        <v>101</v>
      </c>
      <c r="B107" s="159" t="s">
        <v>102</v>
      </c>
      <c r="C107" s="160">
        <v>97776</v>
      </c>
      <c r="D107" s="160">
        <v>91706</v>
      </c>
      <c r="E107" s="160">
        <v>120161</v>
      </c>
      <c r="F107" s="160">
        <v>117785</v>
      </c>
      <c r="G107" s="160">
        <v>125143</v>
      </c>
      <c r="H107" s="160">
        <v>118197</v>
      </c>
      <c r="I107" s="161">
        <f>IFERROR(H107/G107-1,"-")</f>
        <v>-5.5504502848741089E-2</v>
      </c>
      <c r="J107" s="160">
        <f t="shared" ref="J107:J117" si="28">H107-G107</f>
        <v>-6946</v>
      </c>
      <c r="K107" s="161">
        <f>H107/H$8</f>
        <v>5.9890224815977297E-3</v>
      </c>
      <c r="L107" s="81"/>
    </row>
    <row r="108" spans="1:12" x14ac:dyDescent="0.25">
      <c r="A108" s="162" t="s">
        <v>108</v>
      </c>
      <c r="B108" s="163" t="s">
        <v>108</v>
      </c>
      <c r="C108" s="164">
        <v>61490</v>
      </c>
      <c r="D108" s="164">
        <v>31557</v>
      </c>
      <c r="E108" s="164">
        <v>35572</v>
      </c>
      <c r="F108" s="164">
        <v>29032</v>
      </c>
      <c r="G108" s="164">
        <v>43758</v>
      </c>
      <c r="H108" s="164">
        <v>55055</v>
      </c>
      <c r="I108" s="165">
        <f>IFERROR(H108/G108-1,"-")</f>
        <v>0.25816993464052285</v>
      </c>
      <c r="J108" s="164">
        <f t="shared" si="28"/>
        <v>11297</v>
      </c>
      <c r="K108" s="165">
        <f>H108/H$8</f>
        <v>2.7896277631781095E-3</v>
      </c>
      <c r="L108" s="81"/>
    </row>
    <row r="109" spans="1:12" x14ac:dyDescent="0.25">
      <c r="A109" s="162" t="s">
        <v>105</v>
      </c>
      <c r="B109" s="163" t="s">
        <v>105</v>
      </c>
      <c r="C109" s="164">
        <v>36286</v>
      </c>
      <c r="D109" s="164">
        <v>60149</v>
      </c>
      <c r="E109" s="164">
        <v>84589</v>
      </c>
      <c r="F109" s="164">
        <v>88753</v>
      </c>
      <c r="G109" s="164">
        <v>81385</v>
      </c>
      <c r="H109" s="164">
        <v>63142</v>
      </c>
      <c r="I109" s="165">
        <f>IFERROR(H109/G109-1,"-")</f>
        <v>-0.22415678564846098</v>
      </c>
      <c r="J109" s="164">
        <f t="shared" si="28"/>
        <v>-18243</v>
      </c>
      <c r="K109" s="165">
        <f>H109/H$8</f>
        <v>3.1993947184196202E-3</v>
      </c>
      <c r="L109" s="81"/>
    </row>
    <row r="110" spans="1:12" x14ac:dyDescent="0.25">
      <c r="A110" s="162"/>
      <c r="B110" s="159" t="s">
        <v>112</v>
      </c>
      <c r="C110" s="160">
        <v>174980</v>
      </c>
      <c r="D110" s="160">
        <v>624750</v>
      </c>
      <c r="E110" s="160">
        <v>683062</v>
      </c>
      <c r="F110" s="160">
        <v>727427</v>
      </c>
      <c r="G110" s="160">
        <v>717881</v>
      </c>
      <c r="H110" s="160">
        <v>611735</v>
      </c>
      <c r="I110" s="161">
        <f>IFERROR(H110/G110-1,"-")</f>
        <v>-0.14786016066729724</v>
      </c>
      <c r="J110" s="160">
        <f t="shared" si="28"/>
        <v>-106146</v>
      </c>
      <c r="K110" s="161">
        <f>H110/H$8</f>
        <v>3.0996511483203357E-2</v>
      </c>
      <c r="L110" s="81"/>
    </row>
    <row r="111" spans="1:12" s="57" customFormat="1" x14ac:dyDescent="0.25">
      <c r="A111" s="162"/>
      <c r="B111" s="163" t="s">
        <v>115</v>
      </c>
      <c r="C111" s="164">
        <v>38195</v>
      </c>
      <c r="D111" s="164">
        <v>376995</v>
      </c>
      <c r="E111" s="164">
        <v>411458</v>
      </c>
      <c r="F111" s="164">
        <v>437572</v>
      </c>
      <c r="G111" s="164">
        <v>410493</v>
      </c>
      <c r="H111" s="164">
        <v>362121</v>
      </c>
      <c r="I111" s="165">
        <f t="shared" ref="I111:I118" si="29">IFERROR(H111/G111-1,"-")</f>
        <v>-0.11783879384057705</v>
      </c>
      <c r="J111" s="164">
        <f t="shared" si="28"/>
        <v>-48372</v>
      </c>
      <c r="K111" s="165">
        <f t="shared" ref="K111:K118" si="30">H111/H$8</f>
        <v>1.834861130196749E-2</v>
      </c>
      <c r="L111" s="166"/>
    </row>
    <row r="112" spans="1:12" s="57" customFormat="1" x14ac:dyDescent="0.25">
      <c r="A112" s="162"/>
      <c r="B112" s="163" t="s">
        <v>118</v>
      </c>
      <c r="C112" s="164">
        <v>33343</v>
      </c>
      <c r="D112" s="164">
        <v>27921</v>
      </c>
      <c r="E112" s="164">
        <v>37035</v>
      </c>
      <c r="F112" s="164">
        <v>33099</v>
      </c>
      <c r="G112" s="164">
        <v>39609</v>
      </c>
      <c r="H112" s="164">
        <v>31484</v>
      </c>
      <c r="I112" s="165">
        <f t="shared" si="29"/>
        <v>-0.20513014718877021</v>
      </c>
      <c r="J112" s="164">
        <f t="shared" si="28"/>
        <v>-8125</v>
      </c>
      <c r="K112" s="165">
        <f t="shared" si="30"/>
        <v>1.5952890835691507E-3</v>
      </c>
      <c r="L112" s="166"/>
    </row>
    <row r="113" spans="1:12" x14ac:dyDescent="0.25">
      <c r="A113" s="162"/>
      <c r="B113" s="163" t="s">
        <v>121</v>
      </c>
      <c r="C113" s="164">
        <v>35236</v>
      </c>
      <c r="D113" s="164">
        <v>35399</v>
      </c>
      <c r="E113" s="164">
        <v>49821</v>
      </c>
      <c r="F113" s="164">
        <v>42952</v>
      </c>
      <c r="G113" s="164">
        <v>63301</v>
      </c>
      <c r="H113" s="164">
        <v>52133</v>
      </c>
      <c r="I113" s="165">
        <f t="shared" si="29"/>
        <v>-0.17642691268700339</v>
      </c>
      <c r="J113" s="164">
        <f t="shared" si="28"/>
        <v>-11168</v>
      </c>
      <c r="K113" s="165">
        <f t="shared" si="30"/>
        <v>2.6415705054538986E-3</v>
      </c>
      <c r="L113" s="81"/>
    </row>
    <row r="114" spans="1:12" x14ac:dyDescent="0.25">
      <c r="A114" s="162"/>
      <c r="B114" s="163" t="s">
        <v>128</v>
      </c>
      <c r="C114" s="164">
        <v>10036</v>
      </c>
      <c r="D114" s="164">
        <v>26570</v>
      </c>
      <c r="E114" s="164">
        <v>22048</v>
      </c>
      <c r="F114" s="164">
        <v>24551</v>
      </c>
      <c r="G114" s="164">
        <v>25667</v>
      </c>
      <c r="H114" s="164">
        <v>16250</v>
      </c>
      <c r="I114" s="165">
        <f t="shared" si="29"/>
        <v>-0.36689133907351856</v>
      </c>
      <c r="J114" s="164">
        <f t="shared" si="28"/>
        <v>-9417</v>
      </c>
      <c r="K114" s="165">
        <f t="shared" si="30"/>
        <v>8.233848179392294E-4</v>
      </c>
      <c r="L114" s="81"/>
    </row>
    <row r="115" spans="1:12" x14ac:dyDescent="0.25">
      <c r="A115" s="162"/>
      <c r="B115" s="163" t="s">
        <v>124</v>
      </c>
      <c r="C115" s="164">
        <v>16223</v>
      </c>
      <c r="D115" s="164">
        <v>27329</v>
      </c>
      <c r="E115" s="164">
        <v>28296</v>
      </c>
      <c r="F115" s="164">
        <v>18839</v>
      </c>
      <c r="G115" s="164">
        <v>21469</v>
      </c>
      <c r="H115" s="164">
        <v>12966</v>
      </c>
      <c r="I115" s="165">
        <f t="shared" si="29"/>
        <v>-0.39605943453351344</v>
      </c>
      <c r="J115" s="164">
        <f t="shared" si="28"/>
        <v>-8503</v>
      </c>
      <c r="K115" s="165">
        <f t="shared" si="30"/>
        <v>6.569850799630799E-4</v>
      </c>
      <c r="L115" s="81"/>
    </row>
    <row r="116" spans="1:12" x14ac:dyDescent="0.25">
      <c r="A116" s="162"/>
      <c r="B116" s="163" t="s">
        <v>133</v>
      </c>
      <c r="C116" s="164">
        <v>277</v>
      </c>
      <c r="D116" s="164">
        <v>3665</v>
      </c>
      <c r="E116" s="164">
        <v>6774</v>
      </c>
      <c r="F116" s="164">
        <v>9961</v>
      </c>
      <c r="G116" s="164">
        <v>6169</v>
      </c>
      <c r="H116" s="164">
        <v>5716</v>
      </c>
      <c r="I116" s="165">
        <f t="shared" si="29"/>
        <v>-7.3431674501539979E-2</v>
      </c>
      <c r="J116" s="164">
        <f t="shared" si="28"/>
        <v>-453</v>
      </c>
      <c r="K116" s="165">
        <f t="shared" si="30"/>
        <v>2.8962877657480831E-4</v>
      </c>
      <c r="L116" s="81"/>
    </row>
    <row r="117" spans="1:12" x14ac:dyDescent="0.25">
      <c r="A117" s="162" t="s">
        <v>149</v>
      </c>
      <c r="B117" s="163" t="s">
        <v>136</v>
      </c>
      <c r="C117" s="164">
        <v>98</v>
      </c>
      <c r="D117" s="164">
        <v>5242</v>
      </c>
      <c r="E117" s="164">
        <v>4254</v>
      </c>
      <c r="F117" s="164">
        <v>8870</v>
      </c>
      <c r="G117" s="164">
        <v>5018</v>
      </c>
      <c r="H117" s="164">
        <v>4780</v>
      </c>
      <c r="I117" s="165">
        <f t="shared" si="29"/>
        <v>-4.7429254683140742E-2</v>
      </c>
      <c r="J117" s="164">
        <f t="shared" si="28"/>
        <v>-238</v>
      </c>
      <c r="K117" s="165">
        <f t="shared" si="30"/>
        <v>2.4220181106150872E-4</v>
      </c>
      <c r="L117" s="81"/>
    </row>
    <row r="118" spans="1:12" x14ac:dyDescent="0.25">
      <c r="A118" s="162" t="s">
        <v>150</v>
      </c>
      <c r="B118" s="168" t="s">
        <v>150</v>
      </c>
      <c r="C118" s="169">
        <f t="shared" ref="C118:H118" si="31">C110-SUM(C111:C117)</f>
        <v>41572</v>
      </c>
      <c r="D118" s="169">
        <f t="shared" si="31"/>
        <v>121629</v>
      </c>
      <c r="E118" s="169">
        <f t="shared" si="31"/>
        <v>123376</v>
      </c>
      <c r="F118" s="169">
        <f t="shared" si="31"/>
        <v>151583</v>
      </c>
      <c r="G118" s="169">
        <f t="shared" si="31"/>
        <v>146155</v>
      </c>
      <c r="H118" s="169">
        <f t="shared" si="31"/>
        <v>126285</v>
      </c>
      <c r="I118" s="170">
        <f t="shared" si="29"/>
        <v>-0.13595155827717154</v>
      </c>
      <c r="J118" s="169">
        <f>H118-G118</f>
        <v>-19870</v>
      </c>
      <c r="K118" s="170">
        <f t="shared" si="30"/>
        <v>6.3988401066741897E-3</v>
      </c>
      <c r="L118" s="81"/>
    </row>
    <row r="119" spans="1:12" s="146" customFormat="1" x14ac:dyDescent="0.25">
      <c r="A119" s="162"/>
      <c r="B119" s="155" t="s">
        <v>53</v>
      </c>
      <c r="C119" s="153"/>
      <c r="D119" s="153"/>
      <c r="E119" s="153"/>
      <c r="F119" s="153"/>
      <c r="G119" s="153"/>
      <c r="H119" s="153"/>
      <c r="I119" s="153"/>
      <c r="J119" s="153"/>
      <c r="K119" s="153"/>
    </row>
    <row r="120" spans="1:12" x14ac:dyDescent="0.25">
      <c r="A120" s="162"/>
      <c r="B120" s="156" t="s">
        <v>73</v>
      </c>
      <c r="C120" s="176">
        <v>148140</v>
      </c>
      <c r="D120" s="176">
        <v>301230</v>
      </c>
      <c r="E120" s="176">
        <v>335879</v>
      </c>
      <c r="F120" s="176">
        <v>346106</v>
      </c>
      <c r="G120" s="176">
        <v>351506</v>
      </c>
      <c r="H120" s="176">
        <v>362919</v>
      </c>
      <c r="I120" s="177">
        <f>IFERROR(H120/G120-1,"-")</f>
        <v>3.2468862551421562E-2</v>
      </c>
      <c r="J120" s="176">
        <f>H120-G120</f>
        <v>11413</v>
      </c>
      <c r="K120" s="177">
        <f>H120/H$8</f>
        <v>1.8389045830257675E-2</v>
      </c>
      <c r="L120" s="81"/>
    </row>
    <row r="121" spans="1:12" x14ac:dyDescent="0.25">
      <c r="A121" s="162" t="s">
        <v>101</v>
      </c>
      <c r="B121" s="159" t="s">
        <v>102</v>
      </c>
      <c r="C121" s="160">
        <v>92186</v>
      </c>
      <c r="D121" s="160">
        <v>153498</v>
      </c>
      <c r="E121" s="160">
        <v>180679</v>
      </c>
      <c r="F121" s="160">
        <v>179982</v>
      </c>
      <c r="G121" s="160">
        <v>199199</v>
      </c>
      <c r="H121" s="160">
        <v>201025</v>
      </c>
      <c r="I121" s="161">
        <f>IFERROR(H121/G121-1,"-")</f>
        <v>9.166712684300693E-3</v>
      </c>
      <c r="J121" s="160">
        <f t="shared" ref="J121:J131" si="32">H121-G121</f>
        <v>1826</v>
      </c>
      <c r="K121" s="161">
        <f>H121/H$8</f>
        <v>1.0185903570845145E-2</v>
      </c>
      <c r="L121" s="81"/>
    </row>
    <row r="122" spans="1:12" x14ac:dyDescent="0.25">
      <c r="A122" s="162" t="s">
        <v>108</v>
      </c>
      <c r="B122" s="163" t="s">
        <v>108</v>
      </c>
      <c r="C122" s="164">
        <v>43538</v>
      </c>
      <c r="D122" s="164">
        <v>71529</v>
      </c>
      <c r="E122" s="164">
        <v>74982</v>
      </c>
      <c r="F122" s="164">
        <v>77137</v>
      </c>
      <c r="G122" s="164">
        <v>92475</v>
      </c>
      <c r="H122" s="164">
        <v>95309</v>
      </c>
      <c r="I122" s="165">
        <f>IFERROR(H122/G122-1,"-")</f>
        <v>3.0646120573127877E-2</v>
      </c>
      <c r="J122" s="164">
        <f t="shared" si="32"/>
        <v>2834</v>
      </c>
      <c r="K122" s="165">
        <f>H122/H$8</f>
        <v>4.8292912992596937E-3</v>
      </c>
      <c r="L122" s="81"/>
    </row>
    <row r="123" spans="1:12" x14ac:dyDescent="0.25">
      <c r="A123" s="162" t="s">
        <v>105</v>
      </c>
      <c r="B123" s="163" t="s">
        <v>105</v>
      </c>
      <c r="C123" s="164">
        <v>48648</v>
      </c>
      <c r="D123" s="164">
        <v>81969</v>
      </c>
      <c r="E123" s="164">
        <v>105697</v>
      </c>
      <c r="F123" s="164">
        <v>102845</v>
      </c>
      <c r="G123" s="164">
        <v>106724</v>
      </c>
      <c r="H123" s="164">
        <v>105716</v>
      </c>
      <c r="I123" s="165">
        <f>IFERROR(H123/G123-1,"-")</f>
        <v>-9.4449233536973987E-3</v>
      </c>
      <c r="J123" s="164">
        <f t="shared" si="32"/>
        <v>-1008</v>
      </c>
      <c r="K123" s="165">
        <f>H123/H$8</f>
        <v>5.3566122715854514E-3</v>
      </c>
      <c r="L123" s="81"/>
    </row>
    <row r="124" spans="1:12" x14ac:dyDescent="0.25">
      <c r="A124" s="162"/>
      <c r="B124" s="159" t="s">
        <v>112</v>
      </c>
      <c r="C124" s="160">
        <v>55954</v>
      </c>
      <c r="D124" s="160">
        <v>147732</v>
      </c>
      <c r="E124" s="160">
        <v>155200</v>
      </c>
      <c r="F124" s="160">
        <v>166124</v>
      </c>
      <c r="G124" s="160">
        <v>152307</v>
      </c>
      <c r="H124" s="160">
        <v>161894</v>
      </c>
      <c r="I124" s="161">
        <f>IFERROR(H124/G124-1,"-")</f>
        <v>6.2945235609656702E-2</v>
      </c>
      <c r="J124" s="160">
        <f t="shared" si="32"/>
        <v>9587</v>
      </c>
      <c r="K124" s="161">
        <f>H124/H$8</f>
        <v>8.2031422594125297E-3</v>
      </c>
      <c r="L124" s="81"/>
    </row>
    <row r="125" spans="1:12" s="57" customFormat="1" x14ac:dyDescent="0.25">
      <c r="A125" s="162"/>
      <c r="B125" s="163" t="s">
        <v>115</v>
      </c>
      <c r="C125" s="164">
        <v>2290</v>
      </c>
      <c r="D125" s="164">
        <v>19804</v>
      </c>
      <c r="E125" s="164">
        <v>19104</v>
      </c>
      <c r="F125" s="164">
        <v>23608</v>
      </c>
      <c r="G125" s="164">
        <v>18207</v>
      </c>
      <c r="H125" s="164">
        <v>18164</v>
      </c>
      <c r="I125" s="165">
        <f t="shared" ref="I125:I132" si="33">IFERROR(H125/G125-1,"-")</f>
        <v>-2.3617290053276063E-3</v>
      </c>
      <c r="J125" s="164">
        <f t="shared" si="32"/>
        <v>-43</v>
      </c>
      <c r="K125" s="165">
        <f t="shared" ref="K125:K132" si="34">H125/H$8</f>
        <v>9.203668820337331E-4</v>
      </c>
      <c r="L125" s="166"/>
    </row>
    <row r="126" spans="1:12" s="57" customFormat="1" x14ac:dyDescent="0.25">
      <c r="A126" s="162"/>
      <c r="B126" s="163" t="s">
        <v>118</v>
      </c>
      <c r="C126" s="164">
        <v>6124</v>
      </c>
      <c r="D126" s="164">
        <v>18108</v>
      </c>
      <c r="E126" s="164">
        <v>24437</v>
      </c>
      <c r="F126" s="164">
        <v>23985</v>
      </c>
      <c r="G126" s="164">
        <v>23413</v>
      </c>
      <c r="H126" s="164">
        <v>24692</v>
      </c>
      <c r="I126" s="165">
        <f t="shared" si="33"/>
        <v>5.4627770896510386E-2</v>
      </c>
      <c r="J126" s="164">
        <f t="shared" si="32"/>
        <v>1279</v>
      </c>
      <c r="K126" s="165">
        <f t="shared" si="34"/>
        <v>1.2511395645880279E-3</v>
      </c>
      <c r="L126" s="166"/>
    </row>
    <row r="127" spans="1:12" x14ac:dyDescent="0.25">
      <c r="A127" s="162"/>
      <c r="B127" s="163" t="s">
        <v>121</v>
      </c>
      <c r="C127" s="164">
        <v>8235</v>
      </c>
      <c r="D127" s="164">
        <v>12644</v>
      </c>
      <c r="E127" s="164">
        <v>15508</v>
      </c>
      <c r="F127" s="164">
        <v>14241</v>
      </c>
      <c r="G127" s="164">
        <v>13040</v>
      </c>
      <c r="H127" s="164">
        <v>14219</v>
      </c>
      <c r="I127" s="165">
        <f t="shared" si="33"/>
        <v>9.0414110429447803E-2</v>
      </c>
      <c r="J127" s="164">
        <f t="shared" si="32"/>
        <v>1179</v>
      </c>
      <c r="K127" s="165">
        <f t="shared" si="34"/>
        <v>7.2047438315556329E-4</v>
      </c>
      <c r="L127" s="81"/>
    </row>
    <row r="128" spans="1:12" x14ac:dyDescent="0.25">
      <c r="A128" s="162"/>
      <c r="B128" s="163" t="s">
        <v>128</v>
      </c>
      <c r="C128" s="164">
        <v>1068</v>
      </c>
      <c r="D128" s="164">
        <v>3483</v>
      </c>
      <c r="E128" s="164">
        <v>3864</v>
      </c>
      <c r="F128" s="164">
        <v>4135</v>
      </c>
      <c r="G128" s="164">
        <v>4656</v>
      </c>
      <c r="H128" s="164">
        <v>5210</v>
      </c>
      <c r="I128" s="165">
        <f t="shared" si="33"/>
        <v>0.11898625429553267</v>
      </c>
      <c r="J128" s="164">
        <f t="shared" si="32"/>
        <v>554</v>
      </c>
      <c r="K128" s="165">
        <f t="shared" si="34"/>
        <v>2.639898400900545E-4</v>
      </c>
      <c r="L128" s="81"/>
    </row>
    <row r="129" spans="1:12" x14ac:dyDescent="0.25">
      <c r="A129" s="162"/>
      <c r="B129" s="163" t="s">
        <v>124</v>
      </c>
      <c r="C129" s="164">
        <v>856</v>
      </c>
      <c r="D129" s="164">
        <v>2733</v>
      </c>
      <c r="E129" s="164">
        <v>3285</v>
      </c>
      <c r="F129" s="164">
        <v>3317</v>
      </c>
      <c r="G129" s="164">
        <v>3524</v>
      </c>
      <c r="H129" s="164">
        <v>3728</v>
      </c>
      <c r="I129" s="165">
        <f t="shared" si="33"/>
        <v>5.7888762769580104E-2</v>
      </c>
      <c r="J129" s="164">
        <f t="shared" si="32"/>
        <v>204</v>
      </c>
      <c r="K129" s="165">
        <f t="shared" si="34"/>
        <v>1.8889714469399677E-4</v>
      </c>
      <c r="L129" s="81"/>
    </row>
    <row r="130" spans="1:12" x14ac:dyDescent="0.25">
      <c r="A130" s="162"/>
      <c r="B130" s="163" t="s">
        <v>133</v>
      </c>
      <c r="C130" s="164">
        <v>179</v>
      </c>
      <c r="D130" s="164">
        <v>1578</v>
      </c>
      <c r="E130" s="164">
        <v>2027</v>
      </c>
      <c r="F130" s="164">
        <v>2833</v>
      </c>
      <c r="G130" s="164">
        <v>1771</v>
      </c>
      <c r="H130" s="164">
        <v>1686</v>
      </c>
      <c r="I130" s="165">
        <f t="shared" si="33"/>
        <v>-4.7995482778091514E-2</v>
      </c>
      <c r="J130" s="164">
        <f t="shared" si="32"/>
        <v>-85</v>
      </c>
      <c r="K130" s="165">
        <f t="shared" si="34"/>
        <v>8.542934172587943E-5</v>
      </c>
      <c r="L130" s="81"/>
    </row>
    <row r="131" spans="1:12" x14ac:dyDescent="0.25">
      <c r="A131" s="162" t="s">
        <v>149</v>
      </c>
      <c r="B131" s="163" t="s">
        <v>136</v>
      </c>
      <c r="C131" s="164">
        <v>413</v>
      </c>
      <c r="D131" s="164">
        <v>2435</v>
      </c>
      <c r="E131" s="164">
        <v>2962</v>
      </c>
      <c r="F131" s="164">
        <v>3287</v>
      </c>
      <c r="G131" s="164">
        <v>2815</v>
      </c>
      <c r="H131" s="164">
        <v>2929</v>
      </c>
      <c r="I131" s="165">
        <f t="shared" si="33"/>
        <v>4.0497335701598525E-2</v>
      </c>
      <c r="J131" s="164">
        <f t="shared" si="32"/>
        <v>114</v>
      </c>
      <c r="K131" s="165">
        <f t="shared" si="34"/>
        <v>1.4841194656886172E-4</v>
      </c>
      <c r="L131" s="81"/>
    </row>
    <row r="132" spans="1:12" x14ac:dyDescent="0.25">
      <c r="A132" s="162" t="s">
        <v>150</v>
      </c>
      <c r="B132" s="168" t="s">
        <v>150</v>
      </c>
      <c r="C132" s="169">
        <f t="shared" ref="C132:H132" si="35">C124-SUM(C125:C131)</f>
        <v>36789</v>
      </c>
      <c r="D132" s="169">
        <f t="shared" si="35"/>
        <v>86947</v>
      </c>
      <c r="E132" s="169">
        <f t="shared" si="35"/>
        <v>84013</v>
      </c>
      <c r="F132" s="169">
        <f t="shared" si="35"/>
        <v>90718</v>
      </c>
      <c r="G132" s="169">
        <f t="shared" si="35"/>
        <v>84881</v>
      </c>
      <c r="H132" s="169">
        <f t="shared" si="35"/>
        <v>91266</v>
      </c>
      <c r="I132" s="170">
        <f t="shared" si="33"/>
        <v>7.5222959201705963E-2</v>
      </c>
      <c r="J132" s="169">
        <f>H132-G132</f>
        <v>6385</v>
      </c>
      <c r="K132" s="170">
        <f t="shared" si="34"/>
        <v>4.6244331565564135E-3</v>
      </c>
      <c r="L132" s="81"/>
    </row>
    <row r="133" spans="1:12" s="146" customFormat="1" x14ac:dyDescent="0.25">
      <c r="A133" s="162"/>
      <c r="B133" s="155" t="s">
        <v>54</v>
      </c>
      <c r="C133" s="153"/>
      <c r="D133" s="153"/>
      <c r="E133" s="153"/>
      <c r="F133" s="153"/>
      <c r="G133" s="153"/>
      <c r="H133" s="153"/>
      <c r="I133" s="153"/>
      <c r="J133" s="153"/>
      <c r="K133" s="153"/>
    </row>
    <row r="134" spans="1:12" x14ac:dyDescent="0.25">
      <c r="A134" s="162"/>
      <c r="B134" s="156" t="s">
        <v>73</v>
      </c>
      <c r="C134" s="176">
        <v>193247</v>
      </c>
      <c r="D134" s="176">
        <v>975225</v>
      </c>
      <c r="E134" s="176">
        <v>1070924</v>
      </c>
      <c r="F134" s="176">
        <v>1164882</v>
      </c>
      <c r="G134" s="176">
        <v>1151383</v>
      </c>
      <c r="H134" s="176">
        <v>1149427</v>
      </c>
      <c r="I134" s="177">
        <f>IFERROR(H134/G134-1,"-")</f>
        <v>-1.6988265416459924E-3</v>
      </c>
      <c r="J134" s="176">
        <f>H134-G134</f>
        <v>-1956</v>
      </c>
      <c r="K134" s="177">
        <f>H134/H$8</f>
        <v>5.8241276377195977E-2</v>
      </c>
      <c r="L134" s="81"/>
    </row>
    <row r="135" spans="1:12" x14ac:dyDescent="0.25">
      <c r="A135" s="162" t="s">
        <v>101</v>
      </c>
      <c r="B135" s="159" t="s">
        <v>102</v>
      </c>
      <c r="C135" s="160">
        <v>67362</v>
      </c>
      <c r="D135" s="160">
        <v>53266</v>
      </c>
      <c r="E135" s="160">
        <v>73939</v>
      </c>
      <c r="F135" s="160">
        <v>51739</v>
      </c>
      <c r="G135" s="160">
        <v>55778</v>
      </c>
      <c r="H135" s="160">
        <v>81381</v>
      </c>
      <c r="I135" s="161">
        <f>IFERROR(H135/G135-1,"-")</f>
        <v>0.45901609953745215</v>
      </c>
      <c r="J135" s="160">
        <f t="shared" ref="J135:J145" si="36">H135-G135</f>
        <v>25603</v>
      </c>
      <c r="K135" s="161">
        <f>H135/H$8</f>
        <v>4.123561838074611E-3</v>
      </c>
      <c r="L135" s="81"/>
    </row>
    <row r="136" spans="1:12" x14ac:dyDescent="0.25">
      <c r="A136" s="162" t="s">
        <v>108</v>
      </c>
      <c r="B136" s="163" t="s">
        <v>108</v>
      </c>
      <c r="C136" s="164">
        <v>43296</v>
      </c>
      <c r="D136" s="164">
        <v>27987</v>
      </c>
      <c r="E136" s="164">
        <v>44225</v>
      </c>
      <c r="F136" s="164">
        <v>26162</v>
      </c>
      <c r="G136" s="164">
        <v>23005</v>
      </c>
      <c r="H136" s="164">
        <v>36915</v>
      </c>
      <c r="I136" s="165">
        <f>IFERROR(H136/G136-1,"-")</f>
        <v>0.60465116279069764</v>
      </c>
      <c r="J136" s="164">
        <f t="shared" si="36"/>
        <v>13910</v>
      </c>
      <c r="K136" s="165">
        <f>H136/H$8</f>
        <v>1.8704769571831787E-3</v>
      </c>
      <c r="L136" s="81"/>
    </row>
    <row r="137" spans="1:12" x14ac:dyDescent="0.25">
      <c r="A137" s="162" t="s">
        <v>105</v>
      </c>
      <c r="B137" s="163" t="s">
        <v>105</v>
      </c>
      <c r="C137" s="164">
        <v>24066</v>
      </c>
      <c r="D137" s="164">
        <v>25279</v>
      </c>
      <c r="E137" s="164">
        <v>29714</v>
      </c>
      <c r="F137" s="164">
        <v>25577</v>
      </c>
      <c r="G137" s="164">
        <v>32773</v>
      </c>
      <c r="H137" s="164">
        <v>44466</v>
      </c>
      <c r="I137" s="165">
        <f>IFERROR(H137/G137-1,"-")</f>
        <v>0.35678759954840866</v>
      </c>
      <c r="J137" s="164">
        <f t="shared" si="36"/>
        <v>11693</v>
      </c>
      <c r="K137" s="165">
        <f>H137/H$8</f>
        <v>2.2530848808914325E-3</v>
      </c>
      <c r="L137" s="81"/>
    </row>
    <row r="138" spans="1:12" x14ac:dyDescent="0.25">
      <c r="A138" s="162"/>
      <c r="B138" s="159" t="s">
        <v>112</v>
      </c>
      <c r="C138" s="160">
        <v>125885</v>
      </c>
      <c r="D138" s="160">
        <v>921959</v>
      </c>
      <c r="E138" s="160">
        <v>996985</v>
      </c>
      <c r="F138" s="160">
        <v>1113143</v>
      </c>
      <c r="G138" s="160">
        <v>1095605</v>
      </c>
      <c r="H138" s="160">
        <v>1068046</v>
      </c>
      <c r="I138" s="161">
        <f>IFERROR(H138/G138-1,"-")</f>
        <v>-2.5154138580966712E-2</v>
      </c>
      <c r="J138" s="160">
        <f t="shared" si="36"/>
        <v>-27559</v>
      </c>
      <c r="K138" s="161">
        <f>H138/H$8</f>
        <v>5.411771453912137E-2</v>
      </c>
      <c r="L138" s="81"/>
    </row>
    <row r="139" spans="1:12" s="57" customFormat="1" x14ac:dyDescent="0.25">
      <c r="A139" s="162"/>
      <c r="B139" s="163" t="s">
        <v>115</v>
      </c>
      <c r="C139" s="164">
        <v>6335</v>
      </c>
      <c r="D139" s="164">
        <v>406353</v>
      </c>
      <c r="E139" s="164">
        <v>401464</v>
      </c>
      <c r="F139" s="164">
        <v>492611</v>
      </c>
      <c r="G139" s="164">
        <v>512530</v>
      </c>
      <c r="H139" s="164">
        <v>486965</v>
      </c>
      <c r="I139" s="165">
        <f t="shared" ref="I139:I146" si="37">IFERROR(H139/G139-1,"-")</f>
        <v>-4.98800070239791E-2</v>
      </c>
      <c r="J139" s="164">
        <f t="shared" si="36"/>
        <v>-25565</v>
      </c>
      <c r="K139" s="165">
        <f t="shared" ref="K139:K146" si="38">H139/H$8</f>
        <v>2.4674436176478576E-2</v>
      </c>
      <c r="L139" s="166"/>
    </row>
    <row r="140" spans="1:12" s="57" customFormat="1" x14ac:dyDescent="0.25">
      <c r="A140" s="162"/>
      <c r="B140" s="163" t="s">
        <v>118</v>
      </c>
      <c r="C140" s="164">
        <v>15964</v>
      </c>
      <c r="D140" s="164">
        <v>68439</v>
      </c>
      <c r="E140" s="164">
        <v>99467</v>
      </c>
      <c r="F140" s="164">
        <v>115585</v>
      </c>
      <c r="G140" s="164">
        <v>107061</v>
      </c>
      <c r="H140" s="164">
        <v>96093</v>
      </c>
      <c r="I140" s="165">
        <f t="shared" si="37"/>
        <v>-0.10244626894947739</v>
      </c>
      <c r="J140" s="164">
        <f t="shared" si="36"/>
        <v>-10968</v>
      </c>
      <c r="K140" s="165">
        <f t="shared" si="38"/>
        <v>4.8690164498605771E-3</v>
      </c>
      <c r="L140" s="166"/>
    </row>
    <row r="141" spans="1:12" x14ac:dyDescent="0.25">
      <c r="A141" s="162"/>
      <c r="B141" s="163" t="s">
        <v>121</v>
      </c>
      <c r="C141" s="164">
        <v>30470</v>
      </c>
      <c r="D141" s="164">
        <v>99586</v>
      </c>
      <c r="E141" s="164">
        <v>95929</v>
      </c>
      <c r="F141" s="164">
        <v>103986</v>
      </c>
      <c r="G141" s="164">
        <v>92633</v>
      </c>
      <c r="H141" s="164">
        <v>93586</v>
      </c>
      <c r="I141" s="165">
        <f t="shared" si="37"/>
        <v>1.0287910355920582E-2</v>
      </c>
      <c r="J141" s="164">
        <f t="shared" si="36"/>
        <v>953</v>
      </c>
      <c r="K141" s="165">
        <f t="shared" si="38"/>
        <v>4.7419871736406605E-3</v>
      </c>
      <c r="L141" s="81"/>
    </row>
    <row r="142" spans="1:12" x14ac:dyDescent="0.25">
      <c r="A142" s="162"/>
      <c r="B142" s="163" t="s">
        <v>128</v>
      </c>
      <c r="C142" s="164">
        <v>1849</v>
      </c>
      <c r="D142" s="164">
        <v>35752</v>
      </c>
      <c r="E142" s="164">
        <v>41803</v>
      </c>
      <c r="F142" s="164">
        <v>38042</v>
      </c>
      <c r="G142" s="164">
        <v>29989</v>
      </c>
      <c r="H142" s="164">
        <v>26708</v>
      </c>
      <c r="I142" s="165">
        <f t="shared" si="37"/>
        <v>-0.10940678248691182</v>
      </c>
      <c r="J142" s="164">
        <f t="shared" si="36"/>
        <v>-3281</v>
      </c>
      <c r="K142" s="165">
        <f t="shared" si="38"/>
        <v>1.3532899518474424E-3</v>
      </c>
      <c r="L142" s="81"/>
    </row>
    <row r="143" spans="1:12" x14ac:dyDescent="0.25">
      <c r="A143" s="162"/>
      <c r="B143" s="163" t="s">
        <v>124</v>
      </c>
      <c r="C143" s="164">
        <v>4557</v>
      </c>
      <c r="D143" s="164">
        <v>18876</v>
      </c>
      <c r="E143" s="164">
        <v>23675</v>
      </c>
      <c r="F143" s="164">
        <v>28891</v>
      </c>
      <c r="G143" s="164">
        <v>20276</v>
      </c>
      <c r="H143" s="164">
        <v>20575</v>
      </c>
      <c r="I143" s="165">
        <f t="shared" si="37"/>
        <v>1.4746498323140678E-2</v>
      </c>
      <c r="J143" s="164">
        <f t="shared" si="36"/>
        <v>299</v>
      </c>
      <c r="K143" s="165">
        <f t="shared" si="38"/>
        <v>1.0425318540984397E-3</v>
      </c>
      <c r="L143" s="81"/>
    </row>
    <row r="144" spans="1:12" x14ac:dyDescent="0.25">
      <c r="A144" s="162"/>
      <c r="B144" s="163" t="s">
        <v>133</v>
      </c>
      <c r="C144" s="164">
        <v>422</v>
      </c>
      <c r="D144" s="164">
        <v>14520</v>
      </c>
      <c r="E144" s="164">
        <v>18510</v>
      </c>
      <c r="F144" s="164">
        <v>15818</v>
      </c>
      <c r="G144" s="164">
        <v>18317</v>
      </c>
      <c r="H144" s="164">
        <v>16127</v>
      </c>
      <c r="I144" s="165">
        <f t="shared" si="37"/>
        <v>-0.11956106349293005</v>
      </c>
      <c r="J144" s="164">
        <f t="shared" si="36"/>
        <v>-2190</v>
      </c>
      <c r="K144" s="165">
        <f t="shared" si="38"/>
        <v>8.1715242824036637E-4</v>
      </c>
      <c r="L144" s="81"/>
    </row>
    <row r="145" spans="1:12" x14ac:dyDescent="0.25">
      <c r="A145" s="162" t="s">
        <v>149</v>
      </c>
      <c r="B145" s="163" t="s">
        <v>136</v>
      </c>
      <c r="C145" s="164">
        <v>206</v>
      </c>
      <c r="D145" s="164">
        <v>6498</v>
      </c>
      <c r="E145" s="164">
        <v>12686</v>
      </c>
      <c r="F145" s="164">
        <v>11456</v>
      </c>
      <c r="G145" s="164">
        <v>8932</v>
      </c>
      <c r="H145" s="164">
        <v>9159</v>
      </c>
      <c r="I145" s="165">
        <f t="shared" si="37"/>
        <v>2.5414240931482368E-2</v>
      </c>
      <c r="J145" s="164">
        <f t="shared" si="36"/>
        <v>227</v>
      </c>
      <c r="K145" s="165">
        <f t="shared" si="38"/>
        <v>4.6408501830802479E-4</v>
      </c>
      <c r="L145" s="81"/>
    </row>
    <row r="146" spans="1:12" x14ac:dyDescent="0.25">
      <c r="A146" s="162" t="s">
        <v>150</v>
      </c>
      <c r="B146" s="168" t="s">
        <v>150</v>
      </c>
      <c r="C146" s="169">
        <f t="shared" ref="C146:H146" si="39">C138-SUM(C139:C145)</f>
        <v>66082</v>
      </c>
      <c r="D146" s="169">
        <f t="shared" si="39"/>
        <v>271935</v>
      </c>
      <c r="E146" s="169">
        <f t="shared" si="39"/>
        <v>303451</v>
      </c>
      <c r="F146" s="169">
        <f t="shared" si="39"/>
        <v>306754</v>
      </c>
      <c r="G146" s="169">
        <f t="shared" si="39"/>
        <v>305867</v>
      </c>
      <c r="H146" s="169">
        <f t="shared" si="39"/>
        <v>318833</v>
      </c>
      <c r="I146" s="170">
        <f t="shared" si="37"/>
        <v>4.2390973854649294E-2</v>
      </c>
      <c r="J146" s="169">
        <f>H146-G146</f>
        <v>12966</v>
      </c>
      <c r="K146" s="170">
        <f t="shared" si="38"/>
        <v>1.6155215486647282E-2</v>
      </c>
      <c r="L146" s="81"/>
    </row>
    <row r="147" spans="1:12" s="146" customFormat="1" x14ac:dyDescent="0.25">
      <c r="A147" s="162"/>
      <c r="B147" s="155" t="s">
        <v>55</v>
      </c>
      <c r="C147" s="153"/>
      <c r="D147" s="153"/>
      <c r="E147" s="153"/>
      <c r="F147" s="153"/>
      <c r="G147" s="153"/>
      <c r="H147" s="153"/>
      <c r="I147" s="153"/>
      <c r="J147" s="153"/>
      <c r="K147" s="153"/>
    </row>
    <row r="148" spans="1:12" x14ac:dyDescent="0.25">
      <c r="A148" s="162"/>
      <c r="B148" s="156" t="s">
        <v>73</v>
      </c>
      <c r="C148" s="176">
        <v>97296</v>
      </c>
      <c r="D148" s="176">
        <v>341012</v>
      </c>
      <c r="E148" s="176">
        <v>470024</v>
      </c>
      <c r="F148" s="176">
        <v>444567</v>
      </c>
      <c r="G148" s="176">
        <v>422840</v>
      </c>
      <c r="H148" s="176">
        <v>332311</v>
      </c>
      <c r="I148" s="177">
        <f>IFERROR(H148/G148-1,"-")</f>
        <v>-0.21409753098098572</v>
      </c>
      <c r="J148" s="176">
        <f>H148-G148</f>
        <v>-90529</v>
      </c>
      <c r="K148" s="177">
        <f>H148/H$8</f>
        <v>1.6838143522104818E-2</v>
      </c>
      <c r="L148" s="81"/>
    </row>
    <row r="149" spans="1:12" x14ac:dyDescent="0.25">
      <c r="A149" s="162" t="s">
        <v>101</v>
      </c>
      <c r="B149" s="159" t="s">
        <v>102</v>
      </c>
      <c r="C149" s="160">
        <v>50394</v>
      </c>
      <c r="D149" s="160">
        <v>141025</v>
      </c>
      <c r="E149" s="160">
        <v>186425</v>
      </c>
      <c r="F149" s="160">
        <v>177172</v>
      </c>
      <c r="G149" s="160">
        <v>156611</v>
      </c>
      <c r="H149" s="160">
        <v>91218</v>
      </c>
      <c r="I149" s="161">
        <f>IFERROR(H149/G149-1,"-")</f>
        <v>-0.41755049134479694</v>
      </c>
      <c r="J149" s="160">
        <f t="shared" ref="J149:J159" si="40">H149-G149</f>
        <v>-65393</v>
      </c>
      <c r="K149" s="161">
        <f>H149/H$8</f>
        <v>4.6220010044788077E-3</v>
      </c>
      <c r="L149" s="81"/>
    </row>
    <row r="150" spans="1:12" x14ac:dyDescent="0.25">
      <c r="A150" s="162" t="s">
        <v>108</v>
      </c>
      <c r="B150" s="163" t="s">
        <v>108</v>
      </c>
      <c r="C150" s="164">
        <v>39820</v>
      </c>
      <c r="D150" s="164">
        <v>78792</v>
      </c>
      <c r="E150" s="164">
        <v>122963</v>
      </c>
      <c r="F150" s="164">
        <v>119017</v>
      </c>
      <c r="G150" s="164">
        <v>94684</v>
      </c>
      <c r="H150" s="164">
        <v>18629</v>
      </c>
      <c r="I150" s="165">
        <f>IFERROR(H150/G150-1,"-")</f>
        <v>-0.80325081323138015</v>
      </c>
      <c r="J150" s="164">
        <f t="shared" si="40"/>
        <v>-76055</v>
      </c>
      <c r="K150" s="165">
        <f>H150/H$8</f>
        <v>9.4392835528553268E-4</v>
      </c>
      <c r="L150" s="81"/>
    </row>
    <row r="151" spans="1:12" x14ac:dyDescent="0.25">
      <c r="A151" s="162" t="s">
        <v>105</v>
      </c>
      <c r="B151" s="163" t="s">
        <v>105</v>
      </c>
      <c r="C151" s="164">
        <v>10574</v>
      </c>
      <c r="D151" s="164">
        <v>62233</v>
      </c>
      <c r="E151" s="164">
        <v>63462</v>
      </c>
      <c r="F151" s="164">
        <v>58155</v>
      </c>
      <c r="G151" s="164">
        <v>61927</v>
      </c>
      <c r="H151" s="164">
        <v>72589</v>
      </c>
      <c r="I151" s="165">
        <f>IFERROR(H151/G151-1,"-")</f>
        <v>0.17217045876596648</v>
      </c>
      <c r="J151" s="164">
        <f t="shared" si="40"/>
        <v>10662</v>
      </c>
      <c r="K151" s="165">
        <f>H151/H$8</f>
        <v>3.6780726491932756E-3</v>
      </c>
      <c r="L151" s="81"/>
    </row>
    <row r="152" spans="1:12" x14ac:dyDescent="0.25">
      <c r="A152" s="162"/>
      <c r="B152" s="159" t="s">
        <v>112</v>
      </c>
      <c r="C152" s="160">
        <v>46902</v>
      </c>
      <c r="D152" s="160">
        <v>199987</v>
      </c>
      <c r="E152" s="160">
        <v>283599</v>
      </c>
      <c r="F152" s="160">
        <v>267395</v>
      </c>
      <c r="G152" s="160">
        <v>266229</v>
      </c>
      <c r="H152" s="160">
        <v>241093</v>
      </c>
      <c r="I152" s="161">
        <f>IFERROR(H152/G152-1,"-")</f>
        <v>-9.4414958550721351E-2</v>
      </c>
      <c r="J152" s="160">
        <f t="shared" si="40"/>
        <v>-25136</v>
      </c>
      <c r="K152" s="161">
        <f>H152/H$8</f>
        <v>1.2216142517626009E-2</v>
      </c>
      <c r="L152" s="81"/>
    </row>
    <row r="153" spans="1:12" s="57" customFormat="1" x14ac:dyDescent="0.25">
      <c r="A153" s="162"/>
      <c r="B153" s="163" t="s">
        <v>115</v>
      </c>
      <c r="C153" s="164">
        <v>1645</v>
      </c>
      <c r="D153" s="164">
        <v>74624</v>
      </c>
      <c r="E153" s="164">
        <v>112992</v>
      </c>
      <c r="F153" s="164">
        <v>101036</v>
      </c>
      <c r="G153" s="164">
        <v>63042</v>
      </c>
      <c r="H153" s="164">
        <v>83464</v>
      </c>
      <c r="I153" s="165">
        <f t="shared" ref="I153:I160" si="41">IFERROR(H153/G153-1,"-")</f>
        <v>0.32394276831318813</v>
      </c>
      <c r="J153" s="164">
        <f t="shared" si="40"/>
        <v>20422</v>
      </c>
      <c r="K153" s="165">
        <f t="shared" ref="K153:K160" si="42">H153/H$8</f>
        <v>4.2291071042756829E-3</v>
      </c>
      <c r="L153" s="166"/>
    </row>
    <row r="154" spans="1:12" s="57" customFormat="1" x14ac:dyDescent="0.25">
      <c r="A154" s="162"/>
      <c r="B154" s="163" t="s">
        <v>118</v>
      </c>
      <c r="C154" s="164">
        <v>13667</v>
      </c>
      <c r="D154" s="164">
        <v>55156</v>
      </c>
      <c r="E154" s="164">
        <v>59967</v>
      </c>
      <c r="F154" s="164">
        <v>61398</v>
      </c>
      <c r="G154" s="164">
        <v>56790</v>
      </c>
      <c r="H154" s="164">
        <v>54509</v>
      </c>
      <c r="I154" s="165">
        <f t="shared" si="41"/>
        <v>-4.0165522098961071E-2</v>
      </c>
      <c r="J154" s="164">
        <f t="shared" si="40"/>
        <v>-2281</v>
      </c>
      <c r="K154" s="165">
        <f t="shared" si="42"/>
        <v>2.761962033295351E-3</v>
      </c>
      <c r="L154" s="166"/>
    </row>
    <row r="155" spans="1:12" x14ac:dyDescent="0.25">
      <c r="A155" s="162"/>
      <c r="B155" s="163" t="s">
        <v>121</v>
      </c>
      <c r="C155" s="164">
        <v>11423</v>
      </c>
      <c r="D155" s="164">
        <v>18656</v>
      </c>
      <c r="E155" s="164">
        <v>39765</v>
      </c>
      <c r="F155" s="164">
        <v>27279</v>
      </c>
      <c r="G155" s="164">
        <v>79364</v>
      </c>
      <c r="H155" s="164">
        <v>44771</v>
      </c>
      <c r="I155" s="165">
        <f t="shared" si="41"/>
        <v>-0.43587772793709989</v>
      </c>
      <c r="J155" s="164">
        <f t="shared" si="40"/>
        <v>-34593</v>
      </c>
      <c r="K155" s="165">
        <f t="shared" si="42"/>
        <v>2.268539180551215E-3</v>
      </c>
      <c r="L155" s="81"/>
    </row>
    <row r="156" spans="1:12" x14ac:dyDescent="0.25">
      <c r="A156" s="162"/>
      <c r="B156" s="163" t="s">
        <v>128</v>
      </c>
      <c r="C156" s="164">
        <v>1484</v>
      </c>
      <c r="D156" s="164">
        <v>4486</v>
      </c>
      <c r="E156" s="164">
        <v>6557</v>
      </c>
      <c r="F156" s="164">
        <v>8762</v>
      </c>
      <c r="G156" s="164">
        <v>7285</v>
      </c>
      <c r="H156" s="164">
        <v>6632</v>
      </c>
      <c r="I156" s="165">
        <f t="shared" si="41"/>
        <v>-8.9636238846945826E-2</v>
      </c>
      <c r="J156" s="164">
        <f t="shared" si="40"/>
        <v>-653</v>
      </c>
      <c r="K156" s="165">
        <f t="shared" si="42"/>
        <v>3.3604234538910582E-4</v>
      </c>
      <c r="L156" s="81"/>
    </row>
    <row r="157" spans="1:12" x14ac:dyDescent="0.25">
      <c r="A157" s="162"/>
      <c r="B157" s="163" t="s">
        <v>124</v>
      </c>
      <c r="C157" s="164">
        <v>2739</v>
      </c>
      <c r="D157" s="164">
        <v>15118</v>
      </c>
      <c r="E157" s="164">
        <v>15064</v>
      </c>
      <c r="F157" s="164">
        <v>13008</v>
      </c>
      <c r="G157" s="164">
        <v>10181</v>
      </c>
      <c r="H157" s="164">
        <v>6684</v>
      </c>
      <c r="I157" s="165">
        <f t="shared" si="41"/>
        <v>-0.34348295845201848</v>
      </c>
      <c r="J157" s="164">
        <f t="shared" si="40"/>
        <v>-3497</v>
      </c>
      <c r="K157" s="165">
        <f t="shared" si="42"/>
        <v>3.3867717680651134E-4</v>
      </c>
      <c r="L157" s="81"/>
    </row>
    <row r="158" spans="1:12" x14ac:dyDescent="0.25">
      <c r="A158" s="162"/>
      <c r="B158" s="163" t="s">
        <v>133</v>
      </c>
      <c r="C158" s="164">
        <v>235</v>
      </c>
      <c r="D158" s="164">
        <v>1381</v>
      </c>
      <c r="E158" s="164">
        <v>3093</v>
      </c>
      <c r="F158" s="164">
        <v>2100</v>
      </c>
      <c r="G158" s="164">
        <v>1642</v>
      </c>
      <c r="H158" s="164">
        <v>1538</v>
      </c>
      <c r="I158" s="165">
        <f t="shared" si="41"/>
        <v>-6.3337393422655319E-2</v>
      </c>
      <c r="J158" s="164">
        <f t="shared" si="40"/>
        <v>-104</v>
      </c>
      <c r="K158" s="165">
        <f t="shared" si="42"/>
        <v>7.7930206153263684E-5</v>
      </c>
      <c r="L158" s="81"/>
    </row>
    <row r="159" spans="1:12" x14ac:dyDescent="0.25">
      <c r="A159" s="162" t="s">
        <v>149</v>
      </c>
      <c r="B159" s="163" t="s">
        <v>136</v>
      </c>
      <c r="C159" s="164">
        <v>172</v>
      </c>
      <c r="D159" s="164">
        <v>2597</v>
      </c>
      <c r="E159" s="164">
        <v>3937</v>
      </c>
      <c r="F159" s="164">
        <v>3649</v>
      </c>
      <c r="G159" s="164">
        <v>2760</v>
      </c>
      <c r="H159" s="164">
        <v>1421</v>
      </c>
      <c r="I159" s="165">
        <f t="shared" si="41"/>
        <v>-0.48514492753623184</v>
      </c>
      <c r="J159" s="164">
        <f t="shared" si="40"/>
        <v>-1339</v>
      </c>
      <c r="K159" s="165">
        <f t="shared" si="42"/>
        <v>7.2001835464101239E-5</v>
      </c>
      <c r="L159" s="81"/>
    </row>
    <row r="160" spans="1:12" x14ac:dyDescent="0.25">
      <c r="A160" s="162" t="s">
        <v>150</v>
      </c>
      <c r="B160" s="168" t="s">
        <v>150</v>
      </c>
      <c r="C160" s="169">
        <f t="shared" ref="C160:H160" si="43">C152-SUM(C153:C159)</f>
        <v>15537</v>
      </c>
      <c r="D160" s="169">
        <f t="shared" si="43"/>
        <v>27969</v>
      </c>
      <c r="E160" s="169">
        <f t="shared" si="43"/>
        <v>42224</v>
      </c>
      <c r="F160" s="169">
        <f t="shared" si="43"/>
        <v>50163</v>
      </c>
      <c r="G160" s="169">
        <f t="shared" si="43"/>
        <v>45165</v>
      </c>
      <c r="H160" s="169">
        <f t="shared" si="43"/>
        <v>42074</v>
      </c>
      <c r="I160" s="170">
        <f t="shared" si="41"/>
        <v>-6.8437949739842852E-2</v>
      </c>
      <c r="J160" s="169">
        <f>H160-G160</f>
        <v>-3091</v>
      </c>
      <c r="K160" s="170">
        <f t="shared" si="42"/>
        <v>2.1318826356907777E-3</v>
      </c>
      <c r="L160" s="81"/>
    </row>
    <row r="161" spans="2:14" ht="6" customHeight="1" x14ac:dyDescent="0.25"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</row>
    <row r="162" spans="2:14" x14ac:dyDescent="0.25">
      <c r="B162" s="107" t="s">
        <v>57</v>
      </c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</row>
  </sheetData>
  <mergeCells count="2">
    <mergeCell ref="B3:K3"/>
    <mergeCell ref="C5:K5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B1D3F1-1513-471D-9C33-D98B4B1B77B4}">
  <sheetPr>
    <tabColor rgb="FFF29140"/>
    <pageSetUpPr fitToPage="1"/>
  </sheetPr>
  <dimension ref="A1:P162"/>
  <sheetViews>
    <sheetView showGridLines="0" workbookViewId="0"/>
  </sheetViews>
  <sheetFormatPr baseColWidth="10" defaultRowHeight="15" x14ac:dyDescent="0.25"/>
  <cols>
    <col min="1" max="1" width="15.5703125" customWidth="1"/>
    <col min="2" max="2" width="30.140625" customWidth="1"/>
    <col min="3" max="9" width="12" customWidth="1"/>
    <col min="10" max="11" width="10.5703125" customWidth="1"/>
    <col min="12" max="12" width="11.28515625" customWidth="1"/>
    <col min="13" max="13" width="10.5703125" customWidth="1"/>
  </cols>
  <sheetData>
    <row r="1" spans="1:14" ht="42.75" customHeight="1" x14ac:dyDescent="0.25"/>
    <row r="4" spans="1:14" ht="42" customHeight="1" thickBot="1" x14ac:dyDescent="0.3">
      <c r="B4" s="273" t="str">
        <f>CONCATENATE("Pernoctaciones en los establecimientos alojativos de Tenerife según lugar de residencia y municipio de alojamiento (hotel + apartamento)")</f>
        <v>Pernoctaciones en los establecimientos alojativos de Tenerife según lugar de residencia y municipio de alojamiento (hotel + apartamento)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</row>
    <row r="5" spans="1:14" ht="6" customHeight="1" x14ac:dyDescent="0.25"/>
    <row r="6" spans="1:14" s="146" customFormat="1" ht="72" customHeight="1" x14ac:dyDescent="0.25">
      <c r="B6" s="147"/>
      <c r="C6" s="185">
        <v>2020</v>
      </c>
      <c r="D6" s="185">
        <v>2021</v>
      </c>
      <c r="E6" s="185">
        <v>2022</v>
      </c>
      <c r="F6" s="185">
        <v>2023</v>
      </c>
      <c r="G6" s="185">
        <v>2024</v>
      </c>
      <c r="H6" s="185">
        <v>2025</v>
      </c>
      <c r="I6" s="173" t="str">
        <f>CONCATENATE("var. ",RIGHT(H6,2),"/",RIGHT(G6,2))</f>
        <v>var. 25/24</v>
      </c>
      <c r="J6" s="173" t="str">
        <f>CONCATENATE("var. ",RIGHT(H6,2),"/",RIGHT(E6,2))</f>
        <v>var. 25/22</v>
      </c>
      <c r="K6" s="172" t="str">
        <f>CONCATENATE("dif. ",RIGHT(H6,2),"/",RIGHT(G6,2))</f>
        <v>dif. 25/24</v>
      </c>
      <c r="L6" s="172" t="str">
        <f>CONCATENATE("dif. ",RIGHT(H6,2),"/",RIGHT(E6,2))</f>
        <v>dif. 25/22</v>
      </c>
      <c r="M6" s="173" t="str">
        <f>CONCATENATE("Cuota s/ total lugares de residencia ",RIGHT(H6,4))</f>
        <v>Cuota s/ total lugares de residencia 2025</v>
      </c>
    </row>
    <row r="7" spans="1:14" s="146" customFormat="1" x14ac:dyDescent="0.25">
      <c r="B7" s="152" t="s">
        <v>45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</row>
    <row r="8" spans="1:14" x14ac:dyDescent="0.25">
      <c r="A8" s="1">
        <v>3</v>
      </c>
      <c r="B8" s="156" t="s">
        <v>73</v>
      </c>
      <c r="C8" s="176">
        <v>10243785</v>
      </c>
      <c r="D8" s="176">
        <v>13903380</v>
      </c>
      <c r="E8" s="176">
        <v>31413157</v>
      </c>
      <c r="F8" s="176">
        <v>34492002</v>
      </c>
      <c r="G8" s="176">
        <v>36085760</v>
      </c>
      <c r="H8" s="176">
        <v>34978337</v>
      </c>
      <c r="I8" s="177">
        <f>IFERROR(H8/G8-1,"-")</f>
        <v>-3.0688642833073265E-2</v>
      </c>
      <c r="J8" s="177">
        <f>IFERROR(H8/E8-1,"-")</f>
        <v>0.11349320923076922</v>
      </c>
      <c r="K8" s="176">
        <f>H8-G8</f>
        <v>-1107423</v>
      </c>
      <c r="L8" s="176">
        <f>H8-E8</f>
        <v>3565180</v>
      </c>
      <c r="M8" s="177">
        <f>H8/H$8</f>
        <v>1</v>
      </c>
      <c r="N8" s="81"/>
    </row>
    <row r="9" spans="1:14" x14ac:dyDescent="0.25">
      <c r="A9" s="1" t="s">
        <v>101</v>
      </c>
      <c r="B9" s="159" t="s">
        <v>102</v>
      </c>
      <c r="C9" s="160">
        <v>1666329</v>
      </c>
      <c r="D9" s="160">
        <v>2851484</v>
      </c>
      <c r="E9" s="160">
        <v>4156505</v>
      </c>
      <c r="F9" s="160">
        <v>4262718</v>
      </c>
      <c r="G9" s="160">
        <v>4222283</v>
      </c>
      <c r="H9" s="160">
        <v>4152241</v>
      </c>
      <c r="I9" s="161">
        <f>IFERROR(H9/G9-1,"-")</f>
        <v>-1.6588655947505138E-2</v>
      </c>
      <c r="J9" s="178">
        <f t="shared" ref="J9:J20" si="0">IFERROR(H9/E9-1,"-")</f>
        <v>-1.0258618719333201E-3</v>
      </c>
      <c r="K9" s="160">
        <f t="shared" ref="K9:K19" si="1">H9-G9</f>
        <v>-70042</v>
      </c>
      <c r="L9" s="160">
        <f t="shared" ref="L9:L20" si="2">H9-E9</f>
        <v>-4264</v>
      </c>
      <c r="M9" s="161">
        <f>H9/H$8</f>
        <v>0.11870893118789495</v>
      </c>
      <c r="N9" s="81"/>
    </row>
    <row r="10" spans="1:14" x14ac:dyDescent="0.25">
      <c r="A10" s="162" t="s">
        <v>108</v>
      </c>
      <c r="B10" s="163" t="s">
        <v>108</v>
      </c>
      <c r="C10" s="164">
        <v>564792</v>
      </c>
      <c r="D10" s="164">
        <v>1116779</v>
      </c>
      <c r="E10" s="164">
        <v>1216905</v>
      </c>
      <c r="F10" s="164">
        <v>1323436</v>
      </c>
      <c r="G10" s="164">
        <v>1324542</v>
      </c>
      <c r="H10" s="164">
        <v>1190681</v>
      </c>
      <c r="I10" s="165">
        <f>IFERROR(H10/G10-1,"-")</f>
        <v>-0.10106210297597207</v>
      </c>
      <c r="J10" s="179">
        <f t="shared" si="0"/>
        <v>-2.1549751213118529E-2</v>
      </c>
      <c r="K10" s="164">
        <f t="shared" si="1"/>
        <v>-133861</v>
      </c>
      <c r="L10" s="164">
        <f t="shared" si="2"/>
        <v>-26224</v>
      </c>
      <c r="M10" s="165">
        <f>H10/H$8</f>
        <v>3.4040526283453672E-2</v>
      </c>
      <c r="N10" s="81"/>
    </row>
    <row r="11" spans="1:14" x14ac:dyDescent="0.25">
      <c r="A11" s="162" t="s">
        <v>105</v>
      </c>
      <c r="B11" s="163" t="s">
        <v>105</v>
      </c>
      <c r="C11" s="164">
        <v>1101537</v>
      </c>
      <c r="D11" s="164">
        <v>1734705</v>
      </c>
      <c r="E11" s="164">
        <v>2939600</v>
      </c>
      <c r="F11" s="164">
        <v>2939282</v>
      </c>
      <c r="G11" s="164">
        <v>2897741</v>
      </c>
      <c r="H11" s="164">
        <v>2961560</v>
      </c>
      <c r="I11" s="165">
        <f>IFERROR(H11/G11-1,"-")</f>
        <v>2.2023707432789807E-2</v>
      </c>
      <c r="J11" s="179">
        <f t="shared" si="0"/>
        <v>7.4704041366171481E-3</v>
      </c>
      <c r="K11" s="164">
        <f t="shared" si="1"/>
        <v>63819</v>
      </c>
      <c r="L11" s="164">
        <f t="shared" si="2"/>
        <v>21960</v>
      </c>
      <c r="M11" s="165">
        <f>H11/H$8</f>
        <v>8.4668404904441288E-2</v>
      </c>
      <c r="N11" s="81"/>
    </row>
    <row r="12" spans="1:14" x14ac:dyDescent="0.25">
      <c r="A12" s="1"/>
      <c r="B12" s="159" t="s">
        <v>112</v>
      </c>
      <c r="C12" s="160">
        <v>8577456</v>
      </c>
      <c r="D12" s="160">
        <v>11051896</v>
      </c>
      <c r="E12" s="160">
        <v>27256652</v>
      </c>
      <c r="F12" s="160">
        <v>30229284</v>
      </c>
      <c r="G12" s="160">
        <v>31863477</v>
      </c>
      <c r="H12" s="160">
        <v>30826096</v>
      </c>
      <c r="I12" s="161">
        <f>IFERROR(H12/G12-1,"-")</f>
        <v>-3.2557055841708649E-2</v>
      </c>
      <c r="J12" s="178">
        <f t="shared" si="0"/>
        <v>0.1309568027650645</v>
      </c>
      <c r="K12" s="160">
        <f t="shared" si="1"/>
        <v>-1037381</v>
      </c>
      <c r="L12" s="160">
        <f t="shared" si="2"/>
        <v>3569444</v>
      </c>
      <c r="M12" s="161">
        <f>H12/H$8</f>
        <v>0.88129106881210506</v>
      </c>
      <c r="N12" s="81"/>
    </row>
    <row r="13" spans="1:14" s="57" customFormat="1" x14ac:dyDescent="0.25">
      <c r="B13" s="163" t="s">
        <v>115</v>
      </c>
      <c r="C13" s="164">
        <v>3390819</v>
      </c>
      <c r="D13" s="164">
        <v>3350798</v>
      </c>
      <c r="E13" s="164">
        <v>12657617</v>
      </c>
      <c r="F13" s="164">
        <v>13879437</v>
      </c>
      <c r="G13" s="164">
        <v>14676825</v>
      </c>
      <c r="H13" s="164">
        <v>14264209</v>
      </c>
      <c r="I13" s="165">
        <f t="shared" ref="I13:I20" si="3">IFERROR(H13/G13-1,"-")</f>
        <v>-2.8113437340841818E-2</v>
      </c>
      <c r="J13" s="179">
        <f t="shared" si="0"/>
        <v>0.12692689311108096</v>
      </c>
      <c r="K13" s="164">
        <f t="shared" si="1"/>
        <v>-412616</v>
      </c>
      <c r="L13" s="164">
        <f t="shared" si="2"/>
        <v>1606592</v>
      </c>
      <c r="M13" s="165">
        <f t="shared" ref="M13:M20" si="4">H13/H$8</f>
        <v>0.40780123423249082</v>
      </c>
      <c r="N13" s="166"/>
    </row>
    <row r="14" spans="1:14" s="57" customFormat="1" x14ac:dyDescent="0.25">
      <c r="B14" s="163" t="s">
        <v>118</v>
      </c>
      <c r="C14" s="164">
        <v>1278654</v>
      </c>
      <c r="D14" s="164">
        <v>1806937</v>
      </c>
      <c r="E14" s="164">
        <v>3169256</v>
      </c>
      <c r="F14" s="164">
        <v>3606205</v>
      </c>
      <c r="G14" s="164">
        <v>3758646</v>
      </c>
      <c r="H14" s="164">
        <v>3569778</v>
      </c>
      <c r="I14" s="165">
        <f t="shared" si="3"/>
        <v>-5.0248946030033159E-2</v>
      </c>
      <c r="J14" s="179">
        <f t="shared" si="0"/>
        <v>0.12637729486037097</v>
      </c>
      <c r="K14" s="164">
        <f t="shared" si="1"/>
        <v>-188868</v>
      </c>
      <c r="L14" s="164">
        <f t="shared" si="2"/>
        <v>400522</v>
      </c>
      <c r="M14" s="165">
        <f t="shared" si="4"/>
        <v>0.10205682448539506</v>
      </c>
      <c r="N14" s="166"/>
    </row>
    <row r="15" spans="1:14" x14ac:dyDescent="0.25">
      <c r="A15" s="1"/>
      <c r="B15" s="163" t="s">
        <v>121</v>
      </c>
      <c r="C15" s="164">
        <v>395218</v>
      </c>
      <c r="D15" s="164">
        <v>815902</v>
      </c>
      <c r="E15" s="164">
        <v>1288352</v>
      </c>
      <c r="F15" s="164">
        <v>1510103</v>
      </c>
      <c r="G15" s="164">
        <v>1590940</v>
      </c>
      <c r="H15" s="164">
        <v>1541951</v>
      </c>
      <c r="I15" s="165">
        <f t="shared" si="3"/>
        <v>-3.0792487460243656E-2</v>
      </c>
      <c r="J15" s="179">
        <f t="shared" si="0"/>
        <v>0.19683983880181821</v>
      </c>
      <c r="K15" s="164">
        <f t="shared" si="1"/>
        <v>-48989</v>
      </c>
      <c r="L15" s="164">
        <f t="shared" si="2"/>
        <v>253599</v>
      </c>
      <c r="M15" s="165">
        <f t="shared" si="4"/>
        <v>4.4083027732278984E-2</v>
      </c>
      <c r="N15" s="81"/>
    </row>
    <row r="16" spans="1:14" x14ac:dyDescent="0.25">
      <c r="A16" s="1"/>
      <c r="B16" s="163" t="s">
        <v>128</v>
      </c>
      <c r="C16" s="164">
        <v>302698</v>
      </c>
      <c r="D16" s="164">
        <v>691981</v>
      </c>
      <c r="E16" s="164">
        <v>1287744</v>
      </c>
      <c r="F16" s="164">
        <v>1318405</v>
      </c>
      <c r="G16" s="164">
        <v>1376091</v>
      </c>
      <c r="H16" s="164">
        <v>1291992</v>
      </c>
      <c r="I16" s="165">
        <f t="shared" si="3"/>
        <v>-6.1114417578488678E-2</v>
      </c>
      <c r="J16" s="179">
        <f t="shared" si="0"/>
        <v>3.298792306545506E-3</v>
      </c>
      <c r="K16" s="164">
        <f t="shared" si="1"/>
        <v>-84099</v>
      </c>
      <c r="L16" s="164">
        <f t="shared" si="2"/>
        <v>4248</v>
      </c>
      <c r="M16" s="165">
        <f t="shared" si="4"/>
        <v>3.6936918985027788E-2</v>
      </c>
      <c r="N16" s="81"/>
    </row>
    <row r="17" spans="1:14" x14ac:dyDescent="0.25">
      <c r="A17" s="1"/>
      <c r="B17" s="163" t="s">
        <v>124</v>
      </c>
      <c r="C17" s="164">
        <v>443857</v>
      </c>
      <c r="D17" s="164">
        <v>726467</v>
      </c>
      <c r="E17" s="164">
        <v>1124652</v>
      </c>
      <c r="F17" s="164">
        <v>1170697</v>
      </c>
      <c r="G17" s="164">
        <v>1202943</v>
      </c>
      <c r="H17" s="164">
        <v>1125010</v>
      </c>
      <c r="I17" s="165">
        <f t="shared" si="3"/>
        <v>-6.4785280765589093E-2</v>
      </c>
      <c r="J17" s="179">
        <f t="shared" si="0"/>
        <v>3.1832068942216907E-4</v>
      </c>
      <c r="K17" s="164">
        <f t="shared" si="1"/>
        <v>-77933</v>
      </c>
      <c r="L17" s="164">
        <f t="shared" si="2"/>
        <v>358</v>
      </c>
      <c r="M17" s="165">
        <f t="shared" si="4"/>
        <v>3.216304994717159E-2</v>
      </c>
      <c r="N17" s="81"/>
    </row>
    <row r="18" spans="1:14" x14ac:dyDescent="0.25">
      <c r="A18" s="1"/>
      <c r="B18" s="163" t="s">
        <v>133</v>
      </c>
      <c r="C18" s="164">
        <v>241432</v>
      </c>
      <c r="D18" s="164">
        <v>191434</v>
      </c>
      <c r="E18" s="164">
        <v>491111</v>
      </c>
      <c r="F18" s="164">
        <v>523441</v>
      </c>
      <c r="G18" s="164">
        <v>511222</v>
      </c>
      <c r="H18" s="164">
        <v>496171</v>
      </c>
      <c r="I18" s="165">
        <f t="shared" si="3"/>
        <v>-2.9441221230698256E-2</v>
      </c>
      <c r="J18" s="179">
        <f t="shared" si="0"/>
        <v>1.0303169751848307E-2</v>
      </c>
      <c r="K18" s="164">
        <f t="shared" si="1"/>
        <v>-15051</v>
      </c>
      <c r="L18" s="164">
        <f t="shared" si="2"/>
        <v>5060</v>
      </c>
      <c r="M18" s="165">
        <f t="shared" si="4"/>
        <v>1.4185094048353414E-2</v>
      </c>
      <c r="N18" s="81"/>
    </row>
    <row r="19" spans="1:14" x14ac:dyDescent="0.25">
      <c r="A19" s="162" t="s">
        <v>149</v>
      </c>
      <c r="B19" s="163" t="s">
        <v>136</v>
      </c>
      <c r="C19" s="164">
        <v>356220</v>
      </c>
      <c r="D19" s="164">
        <v>171613</v>
      </c>
      <c r="E19" s="164">
        <v>432358</v>
      </c>
      <c r="F19" s="164">
        <v>543161</v>
      </c>
      <c r="G19" s="164">
        <v>529346</v>
      </c>
      <c r="H19" s="164">
        <v>469492</v>
      </c>
      <c r="I19" s="165">
        <f t="shared" si="3"/>
        <v>-0.11307160156117169</v>
      </c>
      <c r="J19" s="179">
        <f t="shared" si="0"/>
        <v>8.5887158327127011E-2</v>
      </c>
      <c r="K19" s="164">
        <f t="shared" si="1"/>
        <v>-59854</v>
      </c>
      <c r="L19" s="164">
        <f t="shared" si="2"/>
        <v>37134</v>
      </c>
      <c r="M19" s="165">
        <f t="shared" si="4"/>
        <v>1.3422364819688254E-2</v>
      </c>
      <c r="N19" s="81"/>
    </row>
    <row r="20" spans="1:14" x14ac:dyDescent="0.25">
      <c r="A20" s="167" t="s">
        <v>150</v>
      </c>
      <c r="B20" s="168" t="s">
        <v>150</v>
      </c>
      <c r="C20" s="169">
        <f t="shared" ref="C20:H20" si="5">C12-SUM(C13:C19)</f>
        <v>2168558</v>
      </c>
      <c r="D20" s="169">
        <f t="shared" si="5"/>
        <v>3296764</v>
      </c>
      <c r="E20" s="169">
        <f t="shared" si="5"/>
        <v>6805562</v>
      </c>
      <c r="F20" s="169">
        <f t="shared" si="5"/>
        <v>7677835</v>
      </c>
      <c r="G20" s="169">
        <f t="shared" si="5"/>
        <v>8217464</v>
      </c>
      <c r="H20" s="169">
        <f t="shared" si="5"/>
        <v>8067493</v>
      </c>
      <c r="I20" s="170">
        <f t="shared" si="3"/>
        <v>-1.8250277701246986E-2</v>
      </c>
      <c r="J20" s="180">
        <f t="shared" si="0"/>
        <v>0.18542642033089995</v>
      </c>
      <c r="K20" s="169">
        <f>H20-G20</f>
        <v>-149971</v>
      </c>
      <c r="L20" s="169">
        <f t="shared" si="2"/>
        <v>1261931</v>
      </c>
      <c r="M20" s="170">
        <f t="shared" si="4"/>
        <v>0.23064255456169916</v>
      </c>
      <c r="N20" s="81"/>
    </row>
    <row r="21" spans="1:14" s="146" customFormat="1" x14ac:dyDescent="0.25">
      <c r="B21" s="155" t="s">
        <v>46</v>
      </c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</row>
    <row r="22" spans="1:14" x14ac:dyDescent="0.25">
      <c r="A22" s="1">
        <v>3</v>
      </c>
      <c r="B22" s="156" t="s">
        <v>73</v>
      </c>
      <c r="C22" s="176">
        <v>3913809</v>
      </c>
      <c r="D22" s="176">
        <v>5763674</v>
      </c>
      <c r="E22" s="176">
        <v>12632443</v>
      </c>
      <c r="F22" s="176">
        <v>13593290</v>
      </c>
      <c r="G22" s="176">
        <v>13840017</v>
      </c>
      <c r="H22" s="176">
        <v>13113733</v>
      </c>
      <c r="I22" s="177">
        <f>IFERROR(H22/G22-1,"-")</f>
        <v>-5.2477103171188255E-2</v>
      </c>
      <c r="J22" s="177">
        <f>IFERROR(H22/E22-1,"-")</f>
        <v>3.8099518834163737E-2</v>
      </c>
      <c r="K22" s="176">
        <f>H22-G22</f>
        <v>-726284</v>
      </c>
      <c r="L22" s="176">
        <f>H22-E22</f>
        <v>481290</v>
      </c>
      <c r="M22" s="177">
        <f>H22/H$8</f>
        <v>0.37491013366358727</v>
      </c>
      <c r="N22" s="81"/>
    </row>
    <row r="23" spans="1:14" x14ac:dyDescent="0.25">
      <c r="A23" s="1" t="s">
        <v>101</v>
      </c>
      <c r="B23" s="159" t="s">
        <v>102</v>
      </c>
      <c r="C23" s="160">
        <v>419753</v>
      </c>
      <c r="D23" s="160">
        <v>926094</v>
      </c>
      <c r="E23" s="160">
        <v>924180</v>
      </c>
      <c r="F23" s="160">
        <v>819722</v>
      </c>
      <c r="G23" s="160">
        <v>742797</v>
      </c>
      <c r="H23" s="160">
        <v>653758</v>
      </c>
      <c r="I23" s="161">
        <f>IFERROR(H23/G23-1,"-")</f>
        <v>-0.11986989715898155</v>
      </c>
      <c r="J23" s="178">
        <f t="shared" ref="J23:J34" si="6">IFERROR(H23/E23-1,"-")</f>
        <v>-0.2926075007033262</v>
      </c>
      <c r="K23" s="160">
        <f t="shared" ref="K23:K33" si="7">H23-G23</f>
        <v>-89039</v>
      </c>
      <c r="L23" s="160">
        <f t="shared" ref="L23:L34" si="8">H23-E23</f>
        <v>-270422</v>
      </c>
      <c r="M23" s="161">
        <f>H23/H$8</f>
        <v>1.8690368269938046E-2</v>
      </c>
      <c r="N23" s="81"/>
    </row>
    <row r="24" spans="1:14" x14ac:dyDescent="0.25">
      <c r="A24" s="162" t="s">
        <v>108</v>
      </c>
      <c r="B24" s="163" t="s">
        <v>108</v>
      </c>
      <c r="C24" s="164">
        <v>197437</v>
      </c>
      <c r="D24" s="164">
        <v>341894</v>
      </c>
      <c r="E24" s="164">
        <v>286627</v>
      </c>
      <c r="F24" s="164">
        <v>258252</v>
      </c>
      <c r="G24" s="164">
        <v>219334</v>
      </c>
      <c r="H24" s="164">
        <v>218955</v>
      </c>
      <c r="I24" s="165">
        <f>IFERROR(H24/G24-1,"-")</f>
        <v>-1.7279582736831056E-3</v>
      </c>
      <c r="J24" s="179">
        <f t="shared" si="6"/>
        <v>-0.23609778562382466</v>
      </c>
      <c r="K24" s="164">
        <f t="shared" si="7"/>
        <v>-379</v>
      </c>
      <c r="L24" s="164">
        <f t="shared" si="8"/>
        <v>-67672</v>
      </c>
      <c r="M24" s="165">
        <f>H24/H$8</f>
        <v>6.2597315589932138E-3</v>
      </c>
      <c r="N24" s="81"/>
    </row>
    <row r="25" spans="1:14" x14ac:dyDescent="0.25">
      <c r="A25" s="162" t="s">
        <v>105</v>
      </c>
      <c r="B25" s="163" t="s">
        <v>105</v>
      </c>
      <c r="C25" s="164">
        <v>222316</v>
      </c>
      <c r="D25" s="164">
        <v>584200</v>
      </c>
      <c r="E25" s="164">
        <v>637553</v>
      </c>
      <c r="F25" s="164">
        <v>561470</v>
      </c>
      <c r="G25" s="164">
        <v>523463</v>
      </c>
      <c r="H25" s="164">
        <v>434803</v>
      </c>
      <c r="I25" s="165">
        <f>IFERROR(H25/G25-1,"-")</f>
        <v>-0.16937204730802369</v>
      </c>
      <c r="J25" s="179">
        <f t="shared" si="6"/>
        <v>-0.31801277697697294</v>
      </c>
      <c r="K25" s="164">
        <f t="shared" si="7"/>
        <v>-88660</v>
      </c>
      <c r="L25" s="164">
        <f t="shared" si="8"/>
        <v>-202750</v>
      </c>
      <c r="M25" s="165">
        <f>H25/H$8</f>
        <v>1.2430636710944834E-2</v>
      </c>
      <c r="N25" s="81"/>
    </row>
    <row r="26" spans="1:14" x14ac:dyDescent="0.25">
      <c r="A26" s="1"/>
      <c r="B26" s="159" t="s">
        <v>112</v>
      </c>
      <c r="C26" s="160">
        <v>3494056</v>
      </c>
      <c r="D26" s="160">
        <v>4837580</v>
      </c>
      <c r="E26" s="160">
        <v>11708263</v>
      </c>
      <c r="F26" s="160">
        <v>12773568</v>
      </c>
      <c r="G26" s="160">
        <v>13097220</v>
      </c>
      <c r="H26" s="160">
        <v>12459975</v>
      </c>
      <c r="I26" s="161">
        <f>IFERROR(H26/G26-1,"-")</f>
        <v>-4.8654981744217451E-2</v>
      </c>
      <c r="J26" s="178">
        <f t="shared" si="6"/>
        <v>6.4203545820588515E-2</v>
      </c>
      <c r="K26" s="160">
        <f t="shared" si="7"/>
        <v>-637245</v>
      </c>
      <c r="L26" s="160">
        <f t="shared" si="8"/>
        <v>751712</v>
      </c>
      <c r="M26" s="161">
        <f>H26/H$8</f>
        <v>0.35621976539364919</v>
      </c>
      <c r="N26" s="81"/>
    </row>
    <row r="27" spans="1:14" s="57" customFormat="1" x14ac:dyDescent="0.25">
      <c r="B27" s="163" t="s">
        <v>115</v>
      </c>
      <c r="C27" s="164">
        <v>1483938</v>
      </c>
      <c r="D27" s="164">
        <v>1575483</v>
      </c>
      <c r="E27" s="164">
        <v>5839663</v>
      </c>
      <c r="F27" s="164">
        <v>6457010</v>
      </c>
      <c r="G27" s="164">
        <v>6689570</v>
      </c>
      <c r="H27" s="164">
        <v>6403412</v>
      </c>
      <c r="I27" s="165">
        <f t="shared" ref="I27:I34" si="9">IFERROR(H27/G27-1,"-")</f>
        <v>-4.2776740507984856E-2</v>
      </c>
      <c r="J27" s="179">
        <f t="shared" si="6"/>
        <v>9.6537933781452701E-2</v>
      </c>
      <c r="K27" s="164">
        <f t="shared" si="7"/>
        <v>-286158</v>
      </c>
      <c r="L27" s="164">
        <f t="shared" si="8"/>
        <v>563749</v>
      </c>
      <c r="M27" s="165">
        <f t="shared" ref="M27:M34" si="10">H27/H$8</f>
        <v>0.1830679371635078</v>
      </c>
      <c r="N27" s="166"/>
    </row>
    <row r="28" spans="1:14" s="57" customFormat="1" x14ac:dyDescent="0.25">
      <c r="B28" s="163" t="s">
        <v>118</v>
      </c>
      <c r="C28" s="164">
        <v>510569</v>
      </c>
      <c r="D28" s="164">
        <v>851193</v>
      </c>
      <c r="E28" s="164">
        <v>1420539</v>
      </c>
      <c r="F28" s="164">
        <v>1496166</v>
      </c>
      <c r="G28" s="164">
        <v>1483358</v>
      </c>
      <c r="H28" s="164">
        <v>1371271</v>
      </c>
      <c r="I28" s="165">
        <f t="shared" si="9"/>
        <v>-7.556301310944491E-2</v>
      </c>
      <c r="J28" s="179">
        <f t="shared" si="6"/>
        <v>-3.4682609910745121E-2</v>
      </c>
      <c r="K28" s="164">
        <f t="shared" si="7"/>
        <v>-112087</v>
      </c>
      <c r="L28" s="164">
        <f t="shared" si="8"/>
        <v>-49268</v>
      </c>
      <c r="M28" s="165">
        <f t="shared" si="10"/>
        <v>3.9203436115330469E-2</v>
      </c>
      <c r="N28" s="166"/>
    </row>
    <row r="29" spans="1:14" x14ac:dyDescent="0.25">
      <c r="A29" s="1"/>
      <c r="B29" s="163" t="s">
        <v>121</v>
      </c>
      <c r="C29" s="164">
        <v>173273</v>
      </c>
      <c r="D29" s="164">
        <v>321437</v>
      </c>
      <c r="E29" s="164">
        <v>466813</v>
      </c>
      <c r="F29" s="164">
        <v>535892</v>
      </c>
      <c r="G29" s="164">
        <v>462244</v>
      </c>
      <c r="H29" s="164">
        <v>396257</v>
      </c>
      <c r="I29" s="165">
        <f t="shared" si="9"/>
        <v>-0.14275361064719061</v>
      </c>
      <c r="J29" s="179">
        <f t="shared" si="6"/>
        <v>-0.1511440341207293</v>
      </c>
      <c r="K29" s="164">
        <f t="shared" si="7"/>
        <v>-65987</v>
      </c>
      <c r="L29" s="164">
        <f t="shared" si="8"/>
        <v>-70556</v>
      </c>
      <c r="M29" s="165">
        <f t="shared" si="10"/>
        <v>1.1328640352455864E-2</v>
      </c>
      <c r="N29" s="81"/>
    </row>
    <row r="30" spans="1:14" x14ac:dyDescent="0.25">
      <c r="A30" s="1"/>
      <c r="B30" s="163" t="s">
        <v>128</v>
      </c>
      <c r="C30" s="164">
        <v>134940</v>
      </c>
      <c r="D30" s="164">
        <v>321774</v>
      </c>
      <c r="E30" s="164">
        <v>583899</v>
      </c>
      <c r="F30" s="164">
        <v>553144</v>
      </c>
      <c r="G30" s="164">
        <v>562616</v>
      </c>
      <c r="H30" s="164">
        <v>539721</v>
      </c>
      <c r="I30" s="165">
        <f t="shared" si="9"/>
        <v>-4.0693830250117302E-2</v>
      </c>
      <c r="J30" s="179">
        <f t="shared" si="6"/>
        <v>-7.5660345367948856E-2</v>
      </c>
      <c r="K30" s="164">
        <f t="shared" si="7"/>
        <v>-22895</v>
      </c>
      <c r="L30" s="164">
        <f t="shared" si="8"/>
        <v>-44178</v>
      </c>
      <c r="M30" s="165">
        <f t="shared" si="10"/>
        <v>1.5430150381363184E-2</v>
      </c>
      <c r="N30" s="81"/>
    </row>
    <row r="31" spans="1:14" x14ac:dyDescent="0.25">
      <c r="A31" s="1"/>
      <c r="B31" s="163" t="s">
        <v>124</v>
      </c>
      <c r="C31" s="164">
        <v>241515</v>
      </c>
      <c r="D31" s="164">
        <v>414396</v>
      </c>
      <c r="E31" s="164">
        <v>639629</v>
      </c>
      <c r="F31" s="164">
        <v>620048</v>
      </c>
      <c r="G31" s="164">
        <v>632422</v>
      </c>
      <c r="H31" s="164">
        <v>602571</v>
      </c>
      <c r="I31" s="165">
        <f t="shared" si="9"/>
        <v>-4.7201077761368171E-2</v>
      </c>
      <c r="J31" s="179">
        <f t="shared" si="6"/>
        <v>-5.7936710186686335E-2</v>
      </c>
      <c r="K31" s="164">
        <f t="shared" si="7"/>
        <v>-29851</v>
      </c>
      <c r="L31" s="164">
        <f t="shared" si="8"/>
        <v>-37058</v>
      </c>
      <c r="M31" s="165">
        <f t="shared" si="10"/>
        <v>1.7226976799954784E-2</v>
      </c>
      <c r="N31" s="81"/>
    </row>
    <row r="32" spans="1:14" x14ac:dyDescent="0.25">
      <c r="A32" s="1"/>
      <c r="B32" s="163" t="s">
        <v>133</v>
      </c>
      <c r="C32" s="164">
        <v>95128</v>
      </c>
      <c r="D32" s="164">
        <v>58069</v>
      </c>
      <c r="E32" s="164">
        <v>177706</v>
      </c>
      <c r="F32" s="164">
        <v>184397</v>
      </c>
      <c r="G32" s="164">
        <v>184792</v>
      </c>
      <c r="H32" s="164">
        <v>177006</v>
      </c>
      <c r="I32" s="165">
        <f t="shared" si="9"/>
        <v>-4.2133858608597752E-2</v>
      </c>
      <c r="J32" s="179">
        <f t="shared" si="6"/>
        <v>-3.9390904077520883E-3</v>
      </c>
      <c r="K32" s="164">
        <f t="shared" si="7"/>
        <v>-7786</v>
      </c>
      <c r="L32" s="164">
        <f t="shared" si="8"/>
        <v>-700</v>
      </c>
      <c r="M32" s="165">
        <f t="shared" si="10"/>
        <v>5.0604464128754896E-3</v>
      </c>
      <c r="N32" s="81"/>
    </row>
    <row r="33" spans="1:14" x14ac:dyDescent="0.25">
      <c r="A33" s="162" t="s">
        <v>149</v>
      </c>
      <c r="B33" s="163" t="s">
        <v>136</v>
      </c>
      <c r="C33" s="164">
        <v>106598</v>
      </c>
      <c r="D33" s="164">
        <v>43884</v>
      </c>
      <c r="E33" s="164">
        <v>147837</v>
      </c>
      <c r="F33" s="164">
        <v>187523</v>
      </c>
      <c r="G33" s="164">
        <v>166807</v>
      </c>
      <c r="H33" s="164">
        <v>155413</v>
      </c>
      <c r="I33" s="165">
        <f t="shared" si="9"/>
        <v>-6.8306485938839479E-2</v>
      </c>
      <c r="J33" s="179">
        <f t="shared" si="6"/>
        <v>5.124562863153348E-2</v>
      </c>
      <c r="K33" s="164">
        <f t="shared" si="7"/>
        <v>-11394</v>
      </c>
      <c r="L33" s="164">
        <f t="shared" si="8"/>
        <v>7576</v>
      </c>
      <c r="M33" s="165">
        <f t="shared" si="10"/>
        <v>4.4431214668667635E-3</v>
      </c>
      <c r="N33" s="81"/>
    </row>
    <row r="34" spans="1:14" x14ac:dyDescent="0.25">
      <c r="A34" s="167" t="s">
        <v>150</v>
      </c>
      <c r="B34" s="168" t="s">
        <v>150</v>
      </c>
      <c r="C34" s="169">
        <f t="shared" ref="C34:H34" si="11">C26-SUM(C27:C33)</f>
        <v>748095</v>
      </c>
      <c r="D34" s="169">
        <f t="shared" si="11"/>
        <v>1251344</v>
      </c>
      <c r="E34" s="169">
        <f t="shared" si="11"/>
        <v>2432177</v>
      </c>
      <c r="F34" s="169">
        <f t="shared" si="11"/>
        <v>2739388</v>
      </c>
      <c r="G34" s="169">
        <f t="shared" si="11"/>
        <v>2915411</v>
      </c>
      <c r="H34" s="169">
        <f t="shared" si="11"/>
        <v>2814324</v>
      </c>
      <c r="I34" s="170">
        <f t="shared" si="9"/>
        <v>-3.4673327362762962E-2</v>
      </c>
      <c r="J34" s="180">
        <f t="shared" si="6"/>
        <v>0.15712137726818409</v>
      </c>
      <c r="K34" s="169">
        <f>H34-G34</f>
        <v>-101087</v>
      </c>
      <c r="L34" s="169">
        <f t="shared" si="8"/>
        <v>382147</v>
      </c>
      <c r="M34" s="170">
        <f t="shared" si="10"/>
        <v>8.0459056701294857E-2</v>
      </c>
      <c r="N34" s="81"/>
    </row>
    <row r="35" spans="1:14" s="146" customFormat="1" x14ac:dyDescent="0.25">
      <c r="B35" s="155" t="s">
        <v>47</v>
      </c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</row>
    <row r="36" spans="1:14" x14ac:dyDescent="0.25">
      <c r="A36" s="1">
        <v>3</v>
      </c>
      <c r="B36" s="156" t="s">
        <v>73</v>
      </c>
      <c r="C36" s="176">
        <v>2858440</v>
      </c>
      <c r="D36" s="176">
        <v>3367162</v>
      </c>
      <c r="E36" s="176">
        <v>8870774</v>
      </c>
      <c r="F36" s="176">
        <v>9740327</v>
      </c>
      <c r="G36" s="176">
        <v>10013119</v>
      </c>
      <c r="H36" s="176">
        <v>9994134</v>
      </c>
      <c r="I36" s="177">
        <f>IFERROR(H36/G36-1,"-")</f>
        <v>-1.8960126210424422E-3</v>
      </c>
      <c r="J36" s="177">
        <f>IFERROR(H36/E36-1,"-")</f>
        <v>0.12663607482278327</v>
      </c>
      <c r="K36" s="176">
        <f>H36-G36</f>
        <v>-18985</v>
      </c>
      <c r="L36" s="176">
        <f>H36-E36</f>
        <v>1123360</v>
      </c>
      <c r="M36" s="177">
        <f>H36/H$8</f>
        <v>0.28572353225369174</v>
      </c>
      <c r="N36" s="81"/>
    </row>
    <row r="37" spans="1:14" x14ac:dyDescent="0.25">
      <c r="A37" s="1" t="s">
        <v>101</v>
      </c>
      <c r="B37" s="159" t="s">
        <v>102</v>
      </c>
      <c r="C37" s="160">
        <v>241430</v>
      </c>
      <c r="D37" s="160">
        <v>350874</v>
      </c>
      <c r="E37" s="160">
        <v>513766</v>
      </c>
      <c r="F37" s="160">
        <v>578106</v>
      </c>
      <c r="G37" s="160">
        <v>549885</v>
      </c>
      <c r="H37" s="160">
        <v>574109</v>
      </c>
      <c r="I37" s="161">
        <f>IFERROR(H37/G37-1,"-")</f>
        <v>4.40528474135502E-2</v>
      </c>
      <c r="J37" s="178">
        <f t="shared" ref="J37:J48" si="12">IFERROR(H37/E37-1,"-")</f>
        <v>0.11745230318861122</v>
      </c>
      <c r="K37" s="160">
        <f t="shared" ref="K37:K47" si="13">H37-G37</f>
        <v>24224</v>
      </c>
      <c r="L37" s="160">
        <f t="shared" ref="L37:L48" si="14">H37-E37</f>
        <v>60343</v>
      </c>
      <c r="M37" s="161">
        <f>H37/H$8</f>
        <v>1.6413273163901416E-2</v>
      </c>
      <c r="N37" s="81"/>
    </row>
    <row r="38" spans="1:14" x14ac:dyDescent="0.25">
      <c r="A38" s="162" t="s">
        <v>108</v>
      </c>
      <c r="B38" s="163" t="s">
        <v>108</v>
      </c>
      <c r="C38" s="164">
        <v>92534</v>
      </c>
      <c r="D38" s="164">
        <v>131066</v>
      </c>
      <c r="E38" s="164">
        <v>155656</v>
      </c>
      <c r="F38" s="164">
        <v>219792</v>
      </c>
      <c r="G38" s="164">
        <v>237231</v>
      </c>
      <c r="H38" s="164">
        <v>221651</v>
      </c>
      <c r="I38" s="165">
        <f>IFERROR(H38/G38-1,"-")</f>
        <v>-6.5674384882245529E-2</v>
      </c>
      <c r="J38" s="179">
        <f t="shared" si="12"/>
        <v>0.42397980161381499</v>
      </c>
      <c r="K38" s="164">
        <f t="shared" si="13"/>
        <v>-15580</v>
      </c>
      <c r="L38" s="164">
        <f t="shared" si="14"/>
        <v>65995</v>
      </c>
      <c r="M38" s="165">
        <f>H38/H$8</f>
        <v>6.3368078362330375E-3</v>
      </c>
      <c r="N38" s="81"/>
    </row>
    <row r="39" spans="1:14" x14ac:dyDescent="0.25">
      <c r="A39" s="162" t="s">
        <v>105</v>
      </c>
      <c r="B39" s="163" t="s">
        <v>105</v>
      </c>
      <c r="C39" s="164">
        <v>148896</v>
      </c>
      <c r="D39" s="164">
        <v>219808</v>
      </c>
      <c r="E39" s="164">
        <v>358110</v>
      </c>
      <c r="F39" s="164">
        <v>358314</v>
      </c>
      <c r="G39" s="164">
        <v>312654</v>
      </c>
      <c r="H39" s="164">
        <v>352458</v>
      </c>
      <c r="I39" s="165">
        <f>IFERROR(H39/G39-1,"-")</f>
        <v>0.12731006160164271</v>
      </c>
      <c r="J39" s="179">
        <f t="shared" si="12"/>
        <v>-1.5782860015079114E-2</v>
      </c>
      <c r="K39" s="164">
        <f t="shared" si="13"/>
        <v>39804</v>
      </c>
      <c r="L39" s="164">
        <f t="shared" si="14"/>
        <v>-5652</v>
      </c>
      <c r="M39" s="165">
        <f>H39/H$8</f>
        <v>1.007646532766838E-2</v>
      </c>
      <c r="N39" s="81"/>
    </row>
    <row r="40" spans="1:14" x14ac:dyDescent="0.25">
      <c r="A40" s="1"/>
      <c r="B40" s="159" t="s">
        <v>112</v>
      </c>
      <c r="C40" s="160">
        <v>2617010</v>
      </c>
      <c r="D40" s="160">
        <v>3016288</v>
      </c>
      <c r="E40" s="160">
        <v>8357008</v>
      </c>
      <c r="F40" s="160">
        <v>9162221</v>
      </c>
      <c r="G40" s="160">
        <v>9463234</v>
      </c>
      <c r="H40" s="160">
        <v>9420025</v>
      </c>
      <c r="I40" s="161">
        <f>IFERROR(H40/G40-1,"-")</f>
        <v>-4.5659866383944703E-3</v>
      </c>
      <c r="J40" s="178">
        <f t="shared" si="12"/>
        <v>0.12720066799026641</v>
      </c>
      <c r="K40" s="160">
        <f t="shared" si="13"/>
        <v>-43209</v>
      </c>
      <c r="L40" s="160">
        <f t="shared" si="14"/>
        <v>1063017</v>
      </c>
      <c r="M40" s="161">
        <f>H40/H$8</f>
        <v>0.26931025908979034</v>
      </c>
      <c r="N40" s="81"/>
    </row>
    <row r="41" spans="1:14" s="57" customFormat="1" x14ac:dyDescent="0.25">
      <c r="B41" s="163" t="s">
        <v>115</v>
      </c>
      <c r="C41" s="164">
        <v>1173619</v>
      </c>
      <c r="D41" s="164">
        <v>1066343</v>
      </c>
      <c r="E41" s="164">
        <v>4256430</v>
      </c>
      <c r="F41" s="164">
        <v>4628132</v>
      </c>
      <c r="G41" s="164">
        <v>4858902</v>
      </c>
      <c r="H41" s="164">
        <v>4850627</v>
      </c>
      <c r="I41" s="165">
        <f t="shared" ref="I41:I48" si="15">IFERROR(H41/G41-1,"-")</f>
        <v>-1.7030596624504346E-3</v>
      </c>
      <c r="J41" s="179">
        <f t="shared" si="12"/>
        <v>0.13959985245851581</v>
      </c>
      <c r="K41" s="164">
        <f t="shared" si="13"/>
        <v>-8275</v>
      </c>
      <c r="L41" s="164">
        <f t="shared" si="14"/>
        <v>594197</v>
      </c>
      <c r="M41" s="165">
        <f t="shared" ref="M41:M48" si="16">H41/H$8</f>
        <v>0.13867517486608927</v>
      </c>
      <c r="N41" s="166"/>
    </row>
    <row r="42" spans="1:14" s="57" customFormat="1" x14ac:dyDescent="0.25">
      <c r="B42" s="163" t="s">
        <v>118</v>
      </c>
      <c r="C42" s="164">
        <v>139836</v>
      </c>
      <c r="D42" s="164">
        <v>174981</v>
      </c>
      <c r="E42" s="164">
        <v>311196</v>
      </c>
      <c r="F42" s="164">
        <v>358364</v>
      </c>
      <c r="G42" s="164">
        <v>358116</v>
      </c>
      <c r="H42" s="164">
        <v>376020</v>
      </c>
      <c r="I42" s="165">
        <f t="shared" si="15"/>
        <v>4.9994973695673961E-2</v>
      </c>
      <c r="J42" s="179">
        <f t="shared" si="12"/>
        <v>0.2083060193575752</v>
      </c>
      <c r="K42" s="164">
        <f t="shared" si="13"/>
        <v>17904</v>
      </c>
      <c r="L42" s="164">
        <f t="shared" si="14"/>
        <v>64824</v>
      </c>
      <c r="M42" s="165">
        <f t="shared" si="16"/>
        <v>1.0750082258055894E-2</v>
      </c>
      <c r="N42" s="166"/>
    </row>
    <row r="43" spans="1:14" x14ac:dyDescent="0.25">
      <c r="A43" s="1"/>
      <c r="B43" s="163" t="s">
        <v>121</v>
      </c>
      <c r="C43" s="164">
        <v>67848</v>
      </c>
      <c r="D43" s="164">
        <v>127385</v>
      </c>
      <c r="E43" s="164">
        <v>198903</v>
      </c>
      <c r="F43" s="164">
        <v>247768</v>
      </c>
      <c r="G43" s="164">
        <v>245648</v>
      </c>
      <c r="H43" s="164">
        <v>247430</v>
      </c>
      <c r="I43" s="165">
        <f t="shared" si="15"/>
        <v>7.2542825506416442E-3</v>
      </c>
      <c r="J43" s="179">
        <f t="shared" si="12"/>
        <v>0.24397319296340436</v>
      </c>
      <c r="K43" s="164">
        <f t="shared" si="13"/>
        <v>1782</v>
      </c>
      <c r="L43" s="164">
        <f t="shared" si="14"/>
        <v>48527</v>
      </c>
      <c r="M43" s="165">
        <f t="shared" si="16"/>
        <v>7.0738068536534485E-3</v>
      </c>
      <c r="N43" s="81"/>
    </row>
    <row r="44" spans="1:14" x14ac:dyDescent="0.25">
      <c r="A44" s="1"/>
      <c r="B44" s="163" t="s">
        <v>128</v>
      </c>
      <c r="C44" s="164">
        <v>124287</v>
      </c>
      <c r="D44" s="164">
        <v>239923</v>
      </c>
      <c r="E44" s="164">
        <v>477050</v>
      </c>
      <c r="F44" s="164">
        <v>501092</v>
      </c>
      <c r="G44" s="164">
        <v>499671</v>
      </c>
      <c r="H44" s="164">
        <v>464546</v>
      </c>
      <c r="I44" s="165">
        <f t="shared" si="15"/>
        <v>-7.029625493574776E-2</v>
      </c>
      <c r="J44" s="179">
        <f t="shared" si="12"/>
        <v>-2.621108898438318E-2</v>
      </c>
      <c r="K44" s="164">
        <f t="shared" si="13"/>
        <v>-35125</v>
      </c>
      <c r="L44" s="164">
        <f t="shared" si="14"/>
        <v>-12504</v>
      </c>
      <c r="M44" s="165">
        <f t="shared" si="16"/>
        <v>1.328096301433656E-2</v>
      </c>
      <c r="N44" s="81"/>
    </row>
    <row r="45" spans="1:14" x14ac:dyDescent="0.25">
      <c r="A45" s="1"/>
      <c r="B45" s="163" t="s">
        <v>124</v>
      </c>
      <c r="C45" s="164">
        <v>131712</v>
      </c>
      <c r="D45" s="164">
        <v>184201</v>
      </c>
      <c r="E45" s="164">
        <v>318686</v>
      </c>
      <c r="F45" s="164">
        <v>374926</v>
      </c>
      <c r="G45" s="164">
        <v>372782</v>
      </c>
      <c r="H45" s="164">
        <v>338874</v>
      </c>
      <c r="I45" s="165">
        <f t="shared" si="15"/>
        <v>-9.0959327435337523E-2</v>
      </c>
      <c r="J45" s="179">
        <f t="shared" si="12"/>
        <v>6.3347621169427049E-2</v>
      </c>
      <c r="K45" s="164">
        <f t="shared" si="13"/>
        <v>-33908</v>
      </c>
      <c r="L45" s="164">
        <f t="shared" si="14"/>
        <v>20188</v>
      </c>
      <c r="M45" s="165">
        <f t="shared" si="16"/>
        <v>9.6881106726143095E-3</v>
      </c>
      <c r="N45" s="81"/>
    </row>
    <row r="46" spans="1:14" x14ac:dyDescent="0.25">
      <c r="A46" s="1"/>
      <c r="B46" s="163" t="s">
        <v>133</v>
      </c>
      <c r="C46" s="164">
        <v>86739</v>
      </c>
      <c r="D46" s="164">
        <v>81833</v>
      </c>
      <c r="E46" s="164">
        <v>185630</v>
      </c>
      <c r="F46" s="164">
        <v>188338</v>
      </c>
      <c r="G46" s="164">
        <v>187108</v>
      </c>
      <c r="H46" s="164">
        <v>188541</v>
      </c>
      <c r="I46" s="165">
        <f t="shared" si="15"/>
        <v>7.6586784103298555E-3</v>
      </c>
      <c r="J46" s="179">
        <f t="shared" si="12"/>
        <v>1.5681732478586508E-2</v>
      </c>
      <c r="K46" s="164">
        <f t="shared" si="13"/>
        <v>1433</v>
      </c>
      <c r="L46" s="164">
        <f t="shared" si="14"/>
        <v>2911</v>
      </c>
      <c r="M46" s="165">
        <f t="shared" si="16"/>
        <v>5.3902219536623485E-3</v>
      </c>
      <c r="N46" s="81"/>
    </row>
    <row r="47" spans="1:14" x14ac:dyDescent="0.25">
      <c r="A47" s="162" t="s">
        <v>149</v>
      </c>
      <c r="B47" s="163" t="s">
        <v>136</v>
      </c>
      <c r="C47" s="164">
        <v>150036</v>
      </c>
      <c r="D47" s="164">
        <v>88248</v>
      </c>
      <c r="E47" s="164">
        <v>187724</v>
      </c>
      <c r="F47" s="164">
        <v>224522</v>
      </c>
      <c r="G47" s="164">
        <v>217369</v>
      </c>
      <c r="H47" s="164">
        <v>187855</v>
      </c>
      <c r="I47" s="165">
        <f t="shared" si="15"/>
        <v>-0.13577833085674595</v>
      </c>
      <c r="J47" s="179">
        <f t="shared" si="12"/>
        <v>6.9783298885606193E-4</v>
      </c>
      <c r="K47" s="164">
        <f t="shared" si="13"/>
        <v>-29514</v>
      </c>
      <c r="L47" s="164">
        <f t="shared" si="14"/>
        <v>131</v>
      </c>
      <c r="M47" s="165">
        <f t="shared" si="16"/>
        <v>5.3706098148691289E-3</v>
      </c>
      <c r="N47" s="81"/>
    </row>
    <row r="48" spans="1:14" x14ac:dyDescent="0.25">
      <c r="A48" s="167" t="s">
        <v>150</v>
      </c>
      <c r="B48" s="168" t="s">
        <v>150</v>
      </c>
      <c r="C48" s="169">
        <f t="shared" ref="C48:H48" si="17">C40-SUM(C41:C47)</f>
        <v>742933</v>
      </c>
      <c r="D48" s="169">
        <f t="shared" si="17"/>
        <v>1053374</v>
      </c>
      <c r="E48" s="169">
        <f t="shared" si="17"/>
        <v>2421389</v>
      </c>
      <c r="F48" s="169">
        <f t="shared" si="17"/>
        <v>2639079</v>
      </c>
      <c r="G48" s="169">
        <f t="shared" si="17"/>
        <v>2723638</v>
      </c>
      <c r="H48" s="169">
        <f t="shared" si="17"/>
        <v>2766132</v>
      </c>
      <c r="I48" s="170">
        <f t="shared" si="15"/>
        <v>1.5601926540898647E-2</v>
      </c>
      <c r="J48" s="180">
        <f t="shared" si="12"/>
        <v>0.14237406711602318</v>
      </c>
      <c r="K48" s="169">
        <f>H48-G48</f>
        <v>42494</v>
      </c>
      <c r="L48" s="169">
        <f t="shared" si="14"/>
        <v>344743</v>
      </c>
      <c r="M48" s="170">
        <f t="shared" si="16"/>
        <v>7.9081289656509401E-2</v>
      </c>
      <c r="N48" s="81"/>
    </row>
    <row r="49" spans="1:14" s="146" customFormat="1" x14ac:dyDescent="0.25">
      <c r="B49" s="155" t="s">
        <v>48</v>
      </c>
      <c r="C49" s="153"/>
      <c r="D49" s="153"/>
      <c r="E49" s="153"/>
      <c r="F49" s="153"/>
      <c r="G49" s="153"/>
      <c r="H49" s="153"/>
      <c r="I49" s="153"/>
      <c r="J49" s="153"/>
      <c r="K49" s="153"/>
      <c r="L49" s="153"/>
      <c r="M49" s="153"/>
    </row>
    <row r="50" spans="1:14" x14ac:dyDescent="0.25">
      <c r="A50" s="1">
        <v>3</v>
      </c>
      <c r="B50" s="156" t="s">
        <v>73</v>
      </c>
      <c r="C50" s="176">
        <v>65275</v>
      </c>
      <c r="D50" s="176">
        <v>98762</v>
      </c>
      <c r="E50" s="176">
        <v>168339</v>
      </c>
      <c r="F50" s="176">
        <v>182130</v>
      </c>
      <c r="G50" s="176">
        <v>192892</v>
      </c>
      <c r="H50" s="176">
        <v>197469</v>
      </c>
      <c r="I50" s="177">
        <f>IFERROR(H50/G50-1,"-")</f>
        <v>2.3728303921365379E-2</v>
      </c>
      <c r="J50" s="177">
        <f>IFERROR(H50/E50-1,"-")</f>
        <v>0.1730436797177124</v>
      </c>
      <c r="K50" s="176">
        <f>H50-G50</f>
        <v>4577</v>
      </c>
      <c r="L50" s="176">
        <f>H50-E50</f>
        <v>29130</v>
      </c>
      <c r="M50" s="177">
        <f>H50/H$8</f>
        <v>5.6454656492102529E-3</v>
      </c>
      <c r="N50" s="81"/>
    </row>
    <row r="51" spans="1:14" x14ac:dyDescent="0.25">
      <c r="A51" s="1" t="s">
        <v>101</v>
      </c>
      <c r="B51" s="159" t="s">
        <v>102</v>
      </c>
      <c r="C51" s="160">
        <v>6950</v>
      </c>
      <c r="D51" s="160">
        <v>17286</v>
      </c>
      <c r="E51" s="160">
        <v>21218</v>
      </c>
      <c r="F51" s="160">
        <v>40330</v>
      </c>
      <c r="G51" s="160">
        <v>27801</v>
      </c>
      <c r="H51" s="160">
        <v>27015</v>
      </c>
      <c r="I51" s="161">
        <f>IFERROR(H51/G51-1,"-")</f>
        <v>-2.8272364303442377E-2</v>
      </c>
      <c r="J51" s="178">
        <f t="shared" ref="J51:J62" si="18">IFERROR(H51/E51-1,"-")</f>
        <v>0.27321142426241862</v>
      </c>
      <c r="K51" s="160">
        <f t="shared" ref="K51:K61" si="19">H51-G51</f>
        <v>-786</v>
      </c>
      <c r="L51" s="160">
        <f t="shared" ref="L51:L62" si="20">H51-E51</f>
        <v>5797</v>
      </c>
      <c r="M51" s="161">
        <f>H51/H$8</f>
        <v>7.7233517419653195E-4</v>
      </c>
      <c r="N51" s="81"/>
    </row>
    <row r="52" spans="1:14" x14ac:dyDescent="0.25">
      <c r="A52" s="162" t="s">
        <v>108</v>
      </c>
      <c r="B52" s="163" t="s">
        <v>108</v>
      </c>
      <c r="C52" s="164">
        <v>5003</v>
      </c>
      <c r="D52" s="164">
        <v>6990</v>
      </c>
      <c r="E52" s="164">
        <v>6990</v>
      </c>
      <c r="F52" s="164">
        <v>25259</v>
      </c>
      <c r="G52" s="164">
        <v>15307</v>
      </c>
      <c r="H52" s="164">
        <v>13767</v>
      </c>
      <c r="I52" s="165">
        <f>IFERROR(H52/G52-1,"-")</f>
        <v>-0.10060756516626379</v>
      </c>
      <c r="J52" s="179">
        <f t="shared" si="18"/>
        <v>0.96952789699570818</v>
      </c>
      <c r="K52" s="164">
        <f t="shared" si="19"/>
        <v>-1540</v>
      </c>
      <c r="L52" s="164">
        <f t="shared" si="20"/>
        <v>6777</v>
      </c>
      <c r="M52" s="165">
        <f>H52/H$8</f>
        <v>3.9358646467383513E-4</v>
      </c>
      <c r="N52" s="81"/>
    </row>
    <row r="53" spans="1:14" x14ac:dyDescent="0.25">
      <c r="A53" s="162" t="s">
        <v>105</v>
      </c>
      <c r="B53" s="163" t="s">
        <v>105</v>
      </c>
      <c r="C53" s="164">
        <v>1947</v>
      </c>
      <c r="D53" s="164">
        <v>10296</v>
      </c>
      <c r="E53" s="164">
        <v>14228</v>
      </c>
      <c r="F53" s="164">
        <v>15071</v>
      </c>
      <c r="G53" s="164">
        <v>12494</v>
      </c>
      <c r="H53" s="164">
        <v>13248</v>
      </c>
      <c r="I53" s="165">
        <f>IFERROR(H53/G53-1,"-")</f>
        <v>6.0348967504402218E-2</v>
      </c>
      <c r="J53" s="179">
        <f t="shared" si="18"/>
        <v>-6.8878268203542259E-2</v>
      </c>
      <c r="K53" s="164">
        <f t="shared" si="19"/>
        <v>754</v>
      </c>
      <c r="L53" s="164">
        <f t="shared" si="20"/>
        <v>-980</v>
      </c>
      <c r="M53" s="165">
        <f>H53/H$8</f>
        <v>3.7874870952269688E-4</v>
      </c>
      <c r="N53" s="81"/>
    </row>
    <row r="54" spans="1:14" x14ac:dyDescent="0.25">
      <c r="A54" s="1"/>
      <c r="B54" s="159" t="s">
        <v>112</v>
      </c>
      <c r="C54" s="160">
        <v>58325</v>
      </c>
      <c r="D54" s="160">
        <v>81476</v>
      </c>
      <c r="E54" s="160">
        <v>147121</v>
      </c>
      <c r="F54" s="160">
        <v>141800</v>
      </c>
      <c r="G54" s="160">
        <v>165091</v>
      </c>
      <c r="H54" s="160">
        <v>170454</v>
      </c>
      <c r="I54" s="161">
        <f>IFERROR(H54/G54-1,"-")</f>
        <v>3.2485114270311533E-2</v>
      </c>
      <c r="J54" s="178">
        <f t="shared" si="18"/>
        <v>0.15859734504251599</v>
      </c>
      <c r="K54" s="160">
        <f t="shared" si="19"/>
        <v>5363</v>
      </c>
      <c r="L54" s="160">
        <f t="shared" si="20"/>
        <v>23333</v>
      </c>
      <c r="M54" s="161">
        <f>H54/H$8</f>
        <v>4.8731304750137209E-3</v>
      </c>
      <c r="N54" s="81"/>
    </row>
    <row r="55" spans="1:14" s="57" customFormat="1" x14ac:dyDescent="0.25">
      <c r="B55" s="163" t="s">
        <v>115</v>
      </c>
      <c r="C55" s="164">
        <v>19771</v>
      </c>
      <c r="D55" s="164">
        <v>20693</v>
      </c>
      <c r="E55" s="164">
        <v>65122</v>
      </c>
      <c r="F55" s="164">
        <v>55484</v>
      </c>
      <c r="G55" s="164">
        <v>69307</v>
      </c>
      <c r="H55" s="164">
        <v>68352</v>
      </c>
      <c r="I55" s="165">
        <f t="shared" ref="I55:I62" si="21">IFERROR(H55/G55-1,"-")</f>
        <v>-1.3779271935013826E-2</v>
      </c>
      <c r="J55" s="179">
        <f t="shared" si="18"/>
        <v>4.9599213783360518E-2</v>
      </c>
      <c r="K55" s="164">
        <f t="shared" si="19"/>
        <v>-955</v>
      </c>
      <c r="L55" s="164">
        <f t="shared" si="20"/>
        <v>3230</v>
      </c>
      <c r="M55" s="165">
        <f t="shared" ref="M55:M62" si="22">H55/H$8</f>
        <v>1.9541237766678272E-3</v>
      </c>
      <c r="N55" s="166"/>
    </row>
    <row r="56" spans="1:14" s="57" customFormat="1" x14ac:dyDescent="0.25">
      <c r="B56" s="163" t="s">
        <v>118</v>
      </c>
      <c r="C56" s="164">
        <v>18669</v>
      </c>
      <c r="D56" s="164">
        <v>31230</v>
      </c>
      <c r="E56" s="164">
        <v>34084</v>
      </c>
      <c r="F56" s="164">
        <v>34465</v>
      </c>
      <c r="G56" s="164">
        <v>35877</v>
      </c>
      <c r="H56" s="164">
        <v>40468</v>
      </c>
      <c r="I56" s="165">
        <f t="shared" si="21"/>
        <v>0.12796499149873175</v>
      </c>
      <c r="J56" s="179">
        <f t="shared" si="18"/>
        <v>0.18730195986386566</v>
      </c>
      <c r="K56" s="164">
        <f t="shared" si="19"/>
        <v>4591</v>
      </c>
      <c r="L56" s="164">
        <f t="shared" si="20"/>
        <v>6384</v>
      </c>
      <c r="M56" s="165">
        <f t="shared" si="22"/>
        <v>1.1569446540583104E-3</v>
      </c>
      <c r="N56" s="166"/>
    </row>
    <row r="57" spans="1:14" x14ac:dyDescent="0.25">
      <c r="A57" s="1"/>
      <c r="B57" s="163" t="s">
        <v>121</v>
      </c>
      <c r="C57" s="164">
        <v>1519</v>
      </c>
      <c r="D57" s="164">
        <v>3873</v>
      </c>
      <c r="E57" s="164">
        <v>6397</v>
      </c>
      <c r="F57" s="164">
        <v>6784</v>
      </c>
      <c r="G57" s="164">
        <v>6789</v>
      </c>
      <c r="H57" s="164">
        <v>7322</v>
      </c>
      <c r="I57" s="165">
        <f t="shared" si="21"/>
        <v>7.850935336573861E-2</v>
      </c>
      <c r="J57" s="179">
        <f t="shared" si="18"/>
        <v>0.14459903079568548</v>
      </c>
      <c r="K57" s="164">
        <f t="shared" si="19"/>
        <v>533</v>
      </c>
      <c r="L57" s="164">
        <f t="shared" si="20"/>
        <v>925</v>
      </c>
      <c r="M57" s="165">
        <f t="shared" si="22"/>
        <v>2.0932956303783111E-4</v>
      </c>
      <c r="N57" s="81"/>
    </row>
    <row r="58" spans="1:14" x14ac:dyDescent="0.25">
      <c r="A58" s="1"/>
      <c r="B58" s="163" t="s">
        <v>128</v>
      </c>
      <c r="C58" s="164">
        <v>1082</v>
      </c>
      <c r="D58" s="164">
        <v>2191</v>
      </c>
      <c r="E58" s="164">
        <v>3053</v>
      </c>
      <c r="F58" s="164">
        <v>2811</v>
      </c>
      <c r="G58" s="164">
        <v>4663</v>
      </c>
      <c r="H58" s="164">
        <v>4996</v>
      </c>
      <c r="I58" s="165">
        <f t="shared" si="21"/>
        <v>7.1413253270426802E-2</v>
      </c>
      <c r="J58" s="179">
        <f t="shared" si="18"/>
        <v>0.63642319030461847</v>
      </c>
      <c r="K58" s="164">
        <f t="shared" si="19"/>
        <v>333</v>
      </c>
      <c r="L58" s="164">
        <f t="shared" si="20"/>
        <v>1943</v>
      </c>
      <c r="M58" s="165">
        <f t="shared" si="22"/>
        <v>1.4283126153195904E-4</v>
      </c>
      <c r="N58" s="81"/>
    </row>
    <row r="59" spans="1:14" x14ac:dyDescent="0.25">
      <c r="A59" s="1"/>
      <c r="B59" s="163" t="s">
        <v>124</v>
      </c>
      <c r="C59" s="164">
        <v>1095</v>
      </c>
      <c r="D59" s="164">
        <v>1459</v>
      </c>
      <c r="E59" s="164">
        <v>2254</v>
      </c>
      <c r="F59" s="164">
        <v>2628</v>
      </c>
      <c r="G59" s="164">
        <v>2985</v>
      </c>
      <c r="H59" s="164">
        <v>3168</v>
      </c>
      <c r="I59" s="165">
        <f t="shared" si="21"/>
        <v>6.1306532663316649E-2</v>
      </c>
      <c r="J59" s="179">
        <f t="shared" si="18"/>
        <v>0.40550133096716956</v>
      </c>
      <c r="K59" s="164">
        <f t="shared" si="19"/>
        <v>183</v>
      </c>
      <c r="L59" s="164">
        <f t="shared" si="20"/>
        <v>914</v>
      </c>
      <c r="M59" s="165">
        <f t="shared" si="22"/>
        <v>9.0570343581514471E-5</v>
      </c>
      <c r="N59" s="81"/>
    </row>
    <row r="60" spans="1:14" x14ac:dyDescent="0.25">
      <c r="A60" s="1"/>
      <c r="B60" s="163" t="s">
        <v>133</v>
      </c>
      <c r="C60" s="164">
        <v>713</v>
      </c>
      <c r="D60" s="164">
        <v>445</v>
      </c>
      <c r="E60" s="164">
        <v>554</v>
      </c>
      <c r="F60" s="164">
        <v>804</v>
      </c>
      <c r="G60" s="164">
        <v>604</v>
      </c>
      <c r="H60" s="164">
        <v>842</v>
      </c>
      <c r="I60" s="165">
        <f t="shared" si="21"/>
        <v>0.39403973509933765</v>
      </c>
      <c r="J60" s="179">
        <f t="shared" si="18"/>
        <v>0.5198555956678701</v>
      </c>
      <c r="K60" s="164">
        <f t="shared" si="19"/>
        <v>238</v>
      </c>
      <c r="L60" s="164">
        <f t="shared" si="20"/>
        <v>288</v>
      </c>
      <c r="M60" s="165">
        <f t="shared" si="22"/>
        <v>2.4072042075642418E-5</v>
      </c>
      <c r="N60" s="81"/>
    </row>
    <row r="61" spans="1:14" x14ac:dyDescent="0.25">
      <c r="A61" s="162" t="s">
        <v>149</v>
      </c>
      <c r="B61" s="163" t="s">
        <v>136</v>
      </c>
      <c r="C61" s="164">
        <v>1531</v>
      </c>
      <c r="D61" s="164">
        <v>432</v>
      </c>
      <c r="E61" s="164">
        <v>418</v>
      </c>
      <c r="F61" s="164">
        <v>635</v>
      </c>
      <c r="G61" s="164">
        <v>647</v>
      </c>
      <c r="H61" s="164">
        <v>1265</v>
      </c>
      <c r="I61" s="165">
        <f t="shared" si="21"/>
        <v>0.95517774343122097</v>
      </c>
      <c r="J61" s="179">
        <f t="shared" si="18"/>
        <v>2.0263157894736841</v>
      </c>
      <c r="K61" s="164">
        <f t="shared" si="19"/>
        <v>618</v>
      </c>
      <c r="L61" s="164">
        <f t="shared" si="20"/>
        <v>847</v>
      </c>
      <c r="M61" s="165">
        <f t="shared" si="22"/>
        <v>3.6165241360674181E-5</v>
      </c>
      <c r="N61" s="81"/>
    </row>
    <row r="62" spans="1:14" x14ac:dyDescent="0.25">
      <c r="A62" s="167" t="s">
        <v>150</v>
      </c>
      <c r="B62" s="168" t="s">
        <v>150</v>
      </c>
      <c r="C62" s="169">
        <f t="shared" ref="C62:H62" si="23">C54-SUM(C55:C61)</f>
        <v>13945</v>
      </c>
      <c r="D62" s="169">
        <f t="shared" si="23"/>
        <v>21153</v>
      </c>
      <c r="E62" s="169">
        <f t="shared" si="23"/>
        <v>35239</v>
      </c>
      <c r="F62" s="169">
        <f t="shared" si="23"/>
        <v>38189</v>
      </c>
      <c r="G62" s="169">
        <f t="shared" si="23"/>
        <v>44219</v>
      </c>
      <c r="H62" s="169">
        <f t="shared" si="23"/>
        <v>44041</v>
      </c>
      <c r="I62" s="170">
        <f t="shared" si="21"/>
        <v>-4.0254189375608096E-3</v>
      </c>
      <c r="J62" s="180">
        <f t="shared" si="18"/>
        <v>0.24978007321433648</v>
      </c>
      <c r="K62" s="169">
        <f>H62-G62</f>
        <v>-178</v>
      </c>
      <c r="L62" s="169">
        <f t="shared" si="20"/>
        <v>8802</v>
      </c>
      <c r="M62" s="170">
        <f t="shared" si="22"/>
        <v>1.2590935926999618E-3</v>
      </c>
      <c r="N62" s="81"/>
    </row>
    <row r="63" spans="1:14" s="146" customFormat="1" x14ac:dyDescent="0.25">
      <c r="B63" s="155" t="s">
        <v>49</v>
      </c>
      <c r="C63" s="153"/>
      <c r="D63" s="153"/>
      <c r="E63" s="153"/>
      <c r="F63" s="153"/>
      <c r="G63" s="153"/>
      <c r="H63" s="153"/>
      <c r="I63" s="153"/>
      <c r="J63" s="153"/>
      <c r="K63" s="153"/>
      <c r="L63" s="153"/>
      <c r="M63" s="153"/>
    </row>
    <row r="64" spans="1:14" x14ac:dyDescent="0.25">
      <c r="A64" s="1">
        <v>3</v>
      </c>
      <c r="B64" s="156" t="s">
        <v>73</v>
      </c>
      <c r="C64" s="176">
        <v>295880</v>
      </c>
      <c r="D64" s="176">
        <v>419370</v>
      </c>
      <c r="E64" s="176">
        <v>1014697</v>
      </c>
      <c r="F64" s="176">
        <v>988170</v>
      </c>
      <c r="G64" s="176">
        <v>1361415</v>
      </c>
      <c r="H64" s="176">
        <v>1103359</v>
      </c>
      <c r="I64" s="177">
        <f>IFERROR(H64/G64-1,"-")</f>
        <v>-0.1895498433615026</v>
      </c>
      <c r="J64" s="177">
        <f>IFERROR(H64/E64-1,"-")</f>
        <v>8.7377808350670216E-2</v>
      </c>
      <c r="K64" s="176">
        <f>H64-G64</f>
        <v>-258056</v>
      </c>
      <c r="L64" s="176">
        <f>H64-E64</f>
        <v>88662</v>
      </c>
      <c r="M64" s="177">
        <f>H64/H$8</f>
        <v>3.1544066831993754E-2</v>
      </c>
      <c r="N64" s="81"/>
    </row>
    <row r="65" spans="1:14" x14ac:dyDescent="0.25">
      <c r="A65" s="1" t="s">
        <v>101</v>
      </c>
      <c r="B65" s="159" t="s">
        <v>102</v>
      </c>
      <c r="C65" s="160">
        <v>84704</v>
      </c>
      <c r="D65" s="160">
        <v>83752</v>
      </c>
      <c r="E65" s="160">
        <v>119256</v>
      </c>
      <c r="F65" s="160">
        <v>161549</v>
      </c>
      <c r="G65" s="160">
        <v>256345</v>
      </c>
      <c r="H65" s="160">
        <v>183698</v>
      </c>
      <c r="I65" s="161">
        <f>IFERROR(H65/G65-1,"-")</f>
        <v>-0.2833954241354425</v>
      </c>
      <c r="J65" s="178">
        <f t="shared" ref="J65:J76" si="24">IFERROR(H65/E65-1,"-")</f>
        <v>0.54036694170523925</v>
      </c>
      <c r="K65" s="160">
        <f t="shared" ref="K65:K75" si="25">H65-G65</f>
        <v>-72647</v>
      </c>
      <c r="L65" s="160">
        <f t="shared" ref="L65:L76" si="26">H65-E65</f>
        <v>64442</v>
      </c>
      <c r="M65" s="161">
        <f>H65/H$8</f>
        <v>5.251764828041996E-3</v>
      </c>
      <c r="N65" s="81"/>
    </row>
    <row r="66" spans="1:14" x14ac:dyDescent="0.25">
      <c r="A66" s="162" t="s">
        <v>108</v>
      </c>
      <c r="B66" s="163" t="s">
        <v>108</v>
      </c>
      <c r="C66" s="164">
        <v>23458</v>
      </c>
      <c r="D66" s="164">
        <v>59324</v>
      </c>
      <c r="E66" s="164">
        <v>72718</v>
      </c>
      <c r="F66" s="164">
        <v>83853</v>
      </c>
      <c r="G66" s="164">
        <v>124261</v>
      </c>
      <c r="H66" s="164">
        <v>45282</v>
      </c>
      <c r="I66" s="165">
        <f>IFERROR(H66/G66-1,"-")</f>
        <v>-0.63558960574918921</v>
      </c>
      <c r="J66" s="179">
        <f t="shared" si="24"/>
        <v>-0.37729310487087109</v>
      </c>
      <c r="K66" s="164">
        <f t="shared" si="25"/>
        <v>-78979</v>
      </c>
      <c r="L66" s="164">
        <f t="shared" si="26"/>
        <v>-27436</v>
      </c>
      <c r="M66" s="165">
        <f>H66/H$8</f>
        <v>1.2945726950941094E-3</v>
      </c>
      <c r="N66" s="81"/>
    </row>
    <row r="67" spans="1:14" x14ac:dyDescent="0.25">
      <c r="A67" s="162" t="s">
        <v>105</v>
      </c>
      <c r="B67" s="163" t="s">
        <v>105</v>
      </c>
      <c r="C67" s="164">
        <v>61246</v>
      </c>
      <c r="D67" s="164">
        <v>24428</v>
      </c>
      <c r="E67" s="164">
        <v>46538</v>
      </c>
      <c r="F67" s="164">
        <v>77696</v>
      </c>
      <c r="G67" s="164">
        <v>132084</v>
      </c>
      <c r="H67" s="164">
        <v>138416</v>
      </c>
      <c r="I67" s="165">
        <f>IFERROR(H67/G67-1,"-")</f>
        <v>4.7939190212289207E-2</v>
      </c>
      <c r="J67" s="179">
        <f t="shared" si="24"/>
        <v>1.9742575959431004</v>
      </c>
      <c r="K67" s="164">
        <f t="shared" si="25"/>
        <v>6332</v>
      </c>
      <c r="L67" s="164">
        <f t="shared" si="26"/>
        <v>91878</v>
      </c>
      <c r="M67" s="165">
        <f>H67/H$8</f>
        <v>3.9571921329478871E-3</v>
      </c>
      <c r="N67" s="81"/>
    </row>
    <row r="68" spans="1:14" x14ac:dyDescent="0.25">
      <c r="A68" s="1"/>
      <c r="B68" s="159" t="s">
        <v>112</v>
      </c>
      <c r="C68" s="160">
        <v>211176</v>
      </c>
      <c r="D68" s="160">
        <v>335618</v>
      </c>
      <c r="E68" s="160">
        <v>895441</v>
      </c>
      <c r="F68" s="160">
        <v>826621</v>
      </c>
      <c r="G68" s="160">
        <v>1105070</v>
      </c>
      <c r="H68" s="160">
        <v>919661</v>
      </c>
      <c r="I68" s="161">
        <f>IFERROR(H68/G68-1,"-")</f>
        <v>-0.16778032160858591</v>
      </c>
      <c r="J68" s="178">
        <f t="shared" si="24"/>
        <v>2.704812489041708E-2</v>
      </c>
      <c r="K68" s="160">
        <f t="shared" si="25"/>
        <v>-185409</v>
      </c>
      <c r="L68" s="160">
        <f t="shared" si="26"/>
        <v>24220</v>
      </c>
      <c r="M68" s="161">
        <f>H68/H$8</f>
        <v>2.6292302003951759E-2</v>
      </c>
      <c r="N68" s="81"/>
    </row>
    <row r="69" spans="1:14" s="57" customFormat="1" x14ac:dyDescent="0.25">
      <c r="B69" s="163" t="s">
        <v>115</v>
      </c>
      <c r="C69" s="164">
        <v>94120</v>
      </c>
      <c r="D69" s="164">
        <v>85414</v>
      </c>
      <c r="E69" s="164">
        <v>399420</v>
      </c>
      <c r="F69" s="164">
        <v>314964</v>
      </c>
      <c r="G69" s="164">
        <v>454766</v>
      </c>
      <c r="H69" s="164">
        <v>443504</v>
      </c>
      <c r="I69" s="165">
        <f t="shared" ref="I69:I76" si="27">IFERROR(H69/G69-1,"-")</f>
        <v>-2.4764384320727584E-2</v>
      </c>
      <c r="J69" s="179">
        <f t="shared" si="24"/>
        <v>0.11037003655300182</v>
      </c>
      <c r="K69" s="164">
        <f t="shared" si="25"/>
        <v>-11262</v>
      </c>
      <c r="L69" s="164">
        <f t="shared" si="26"/>
        <v>44084</v>
      </c>
      <c r="M69" s="165">
        <f t="shared" ref="M69:M76" si="28">H69/H$8</f>
        <v>1.2679390675434341E-2</v>
      </c>
      <c r="N69" s="166"/>
    </row>
    <row r="70" spans="1:14" s="57" customFormat="1" x14ac:dyDescent="0.25">
      <c r="B70" s="163" t="s">
        <v>118</v>
      </c>
      <c r="C70" s="164">
        <v>27344</v>
      </c>
      <c r="D70" s="164">
        <v>36140</v>
      </c>
      <c r="E70" s="164">
        <v>56705</v>
      </c>
      <c r="F70" s="164">
        <v>89781</v>
      </c>
      <c r="G70" s="164">
        <v>78559</v>
      </c>
      <c r="H70" s="164">
        <v>77139</v>
      </c>
      <c r="I70" s="165">
        <f t="shared" si="27"/>
        <v>-1.8075586501864804E-2</v>
      </c>
      <c r="J70" s="179">
        <f t="shared" si="24"/>
        <v>0.36035622960938185</v>
      </c>
      <c r="K70" s="164">
        <f t="shared" si="25"/>
        <v>-1420</v>
      </c>
      <c r="L70" s="164">
        <f t="shared" si="26"/>
        <v>20434</v>
      </c>
      <c r="M70" s="165">
        <f t="shared" si="28"/>
        <v>2.2053364057873876E-3</v>
      </c>
      <c r="N70" s="166"/>
    </row>
    <row r="71" spans="1:14" x14ac:dyDescent="0.25">
      <c r="A71" s="1"/>
      <c r="B71" s="163" t="s">
        <v>121</v>
      </c>
      <c r="C71" s="164">
        <v>21566</v>
      </c>
      <c r="D71" s="164">
        <v>44372</v>
      </c>
      <c r="E71" s="164">
        <v>126795</v>
      </c>
      <c r="F71" s="164">
        <v>98989</v>
      </c>
      <c r="G71" s="164">
        <v>131979</v>
      </c>
      <c r="H71" s="164">
        <v>66336</v>
      </c>
      <c r="I71" s="165">
        <f t="shared" si="27"/>
        <v>-0.49737458231991449</v>
      </c>
      <c r="J71" s="179">
        <f t="shared" si="24"/>
        <v>-0.47682479593043892</v>
      </c>
      <c r="K71" s="164">
        <f t="shared" si="25"/>
        <v>-65643</v>
      </c>
      <c r="L71" s="164">
        <f t="shared" si="26"/>
        <v>-60459</v>
      </c>
      <c r="M71" s="165">
        <f t="shared" si="28"/>
        <v>1.8964881034795908E-3</v>
      </c>
      <c r="N71" s="81"/>
    </row>
    <row r="72" spans="1:14" x14ac:dyDescent="0.25">
      <c r="A72" s="1"/>
      <c r="B72" s="163" t="s">
        <v>128</v>
      </c>
      <c r="C72" s="164">
        <v>3914</v>
      </c>
      <c r="D72" s="164">
        <v>28426</v>
      </c>
      <c r="E72" s="164">
        <v>25157</v>
      </c>
      <c r="F72" s="164">
        <v>25283</v>
      </c>
      <c r="G72" s="164">
        <v>47499</v>
      </c>
      <c r="H72" s="164">
        <v>39716</v>
      </c>
      <c r="I72" s="165">
        <f t="shared" si="27"/>
        <v>-0.16385608118065642</v>
      </c>
      <c r="J72" s="179">
        <f t="shared" si="24"/>
        <v>0.57872560321182975</v>
      </c>
      <c r="K72" s="164">
        <f t="shared" si="25"/>
        <v>-7783</v>
      </c>
      <c r="L72" s="164">
        <f t="shared" si="26"/>
        <v>14559</v>
      </c>
      <c r="M72" s="165">
        <f t="shared" si="28"/>
        <v>1.1354456331071428E-3</v>
      </c>
      <c r="N72" s="81"/>
    </row>
    <row r="73" spans="1:14" x14ac:dyDescent="0.25">
      <c r="A73" s="1"/>
      <c r="B73" s="163" t="s">
        <v>124</v>
      </c>
      <c r="C73" s="164">
        <v>8571</v>
      </c>
      <c r="D73" s="164">
        <v>16869</v>
      </c>
      <c r="E73" s="164">
        <v>22926</v>
      </c>
      <c r="F73" s="164">
        <v>14330</v>
      </c>
      <c r="G73" s="164">
        <v>27574</v>
      </c>
      <c r="H73" s="164">
        <v>19817</v>
      </c>
      <c r="I73" s="165">
        <f t="shared" si="27"/>
        <v>-0.28131573221150363</v>
      </c>
      <c r="J73" s="179">
        <f t="shared" si="24"/>
        <v>-0.13561022419959867</v>
      </c>
      <c r="K73" s="164">
        <f t="shared" si="25"/>
        <v>-7757</v>
      </c>
      <c r="L73" s="164">
        <f t="shared" si="26"/>
        <v>-3109</v>
      </c>
      <c r="M73" s="165">
        <f t="shared" si="28"/>
        <v>5.6655066248575514E-4</v>
      </c>
      <c r="N73" s="81"/>
    </row>
    <row r="74" spans="1:14" x14ac:dyDescent="0.25">
      <c r="A74" s="1"/>
      <c r="B74" s="163" t="s">
        <v>133</v>
      </c>
      <c r="C74" s="164">
        <v>5541</v>
      </c>
      <c r="D74" s="164">
        <v>14404</v>
      </c>
      <c r="E74" s="164">
        <v>20957</v>
      </c>
      <c r="F74" s="164">
        <v>26631</v>
      </c>
      <c r="G74" s="164">
        <v>24320</v>
      </c>
      <c r="H74" s="164">
        <v>16244</v>
      </c>
      <c r="I74" s="165">
        <f t="shared" si="27"/>
        <v>-0.33207236842105259</v>
      </c>
      <c r="J74" s="179">
        <f t="shared" si="24"/>
        <v>-0.22488905854845631</v>
      </c>
      <c r="K74" s="164">
        <f t="shared" si="25"/>
        <v>-8076</v>
      </c>
      <c r="L74" s="164">
        <f t="shared" si="26"/>
        <v>-4713</v>
      </c>
      <c r="M74" s="165">
        <f t="shared" si="28"/>
        <v>4.6440172384410388E-4</v>
      </c>
      <c r="N74" s="81"/>
    </row>
    <row r="75" spans="1:14" x14ac:dyDescent="0.25">
      <c r="A75" s="162" t="s">
        <v>149</v>
      </c>
      <c r="B75" s="163" t="s">
        <v>136</v>
      </c>
      <c r="C75" s="164">
        <v>5018</v>
      </c>
      <c r="D75" s="164">
        <v>1659</v>
      </c>
      <c r="E75" s="164">
        <v>6100</v>
      </c>
      <c r="F75" s="164">
        <v>7510</v>
      </c>
      <c r="G75" s="164">
        <v>21506</v>
      </c>
      <c r="H75" s="164">
        <v>24372</v>
      </c>
      <c r="I75" s="165">
        <f t="shared" si="27"/>
        <v>0.13326513531107609</v>
      </c>
      <c r="J75" s="179">
        <f t="shared" si="24"/>
        <v>2.9954098360655736</v>
      </c>
      <c r="K75" s="164">
        <f t="shared" si="25"/>
        <v>2866</v>
      </c>
      <c r="L75" s="164">
        <f t="shared" si="26"/>
        <v>18272</v>
      </c>
      <c r="M75" s="165">
        <f t="shared" si="28"/>
        <v>6.9677412050778739E-4</v>
      </c>
      <c r="N75" s="81"/>
    </row>
    <row r="76" spans="1:14" x14ac:dyDescent="0.25">
      <c r="A76" s="167" t="s">
        <v>150</v>
      </c>
      <c r="B76" s="168" t="s">
        <v>150</v>
      </c>
      <c r="C76" s="169">
        <f t="shared" ref="C76:H76" si="29">C68-SUM(C69:C75)</f>
        <v>45102</v>
      </c>
      <c r="D76" s="169">
        <f t="shared" si="29"/>
        <v>108334</v>
      </c>
      <c r="E76" s="169">
        <f t="shared" si="29"/>
        <v>237381</v>
      </c>
      <c r="F76" s="169">
        <f t="shared" si="29"/>
        <v>249133</v>
      </c>
      <c r="G76" s="169">
        <f t="shared" si="29"/>
        <v>318867</v>
      </c>
      <c r="H76" s="169">
        <f t="shared" si="29"/>
        <v>232533</v>
      </c>
      <c r="I76" s="170">
        <f t="shared" si="27"/>
        <v>-0.27075238265483725</v>
      </c>
      <c r="J76" s="180">
        <f t="shared" si="24"/>
        <v>-2.042286450895392E-2</v>
      </c>
      <c r="K76" s="169">
        <f>H76-G76</f>
        <v>-86334</v>
      </c>
      <c r="L76" s="169">
        <f t="shared" si="26"/>
        <v>-4848</v>
      </c>
      <c r="M76" s="170">
        <f t="shared" si="28"/>
        <v>6.6479146793056512E-3</v>
      </c>
      <c r="N76" s="81"/>
    </row>
    <row r="77" spans="1:14" s="146" customFormat="1" x14ac:dyDescent="0.25">
      <c r="B77" s="155" t="s">
        <v>50</v>
      </c>
      <c r="C77" s="153"/>
      <c r="D77" s="153"/>
      <c r="E77" s="153"/>
      <c r="F77" s="153"/>
      <c r="G77" s="153"/>
      <c r="H77" s="153"/>
      <c r="I77" s="153"/>
      <c r="J77" s="153"/>
      <c r="K77" s="153"/>
      <c r="L77" s="153"/>
      <c r="M77" s="153"/>
    </row>
    <row r="78" spans="1:14" x14ac:dyDescent="0.25">
      <c r="A78" s="1">
        <v>3</v>
      </c>
      <c r="B78" s="156" t="s">
        <v>73</v>
      </c>
      <c r="C78" s="176">
        <v>1546641</v>
      </c>
      <c r="D78" s="176">
        <v>1967362</v>
      </c>
      <c r="E78" s="176">
        <v>4353970</v>
      </c>
      <c r="F78" s="176">
        <v>5136286</v>
      </c>
      <c r="G78" s="176">
        <v>5762502</v>
      </c>
      <c r="H78" s="176">
        <v>5666416</v>
      </c>
      <c r="I78" s="177">
        <f>IFERROR(H78/G78-1,"-")</f>
        <v>-1.6674354299573313E-2</v>
      </c>
      <c r="J78" s="177">
        <f>IFERROR(H78/E78-1,"-")</f>
        <v>0.30143661991240189</v>
      </c>
      <c r="K78" s="176">
        <f>H78-G78</f>
        <v>-96086</v>
      </c>
      <c r="L78" s="176">
        <f>H78-E78</f>
        <v>1312446</v>
      </c>
      <c r="M78" s="177">
        <f>H78/H$8</f>
        <v>0.16199786742291378</v>
      </c>
      <c r="N78" s="81"/>
    </row>
    <row r="79" spans="1:14" x14ac:dyDescent="0.25">
      <c r="A79" s="1" t="s">
        <v>101</v>
      </c>
      <c r="B79" s="159" t="s">
        <v>102</v>
      </c>
      <c r="C79" s="160">
        <v>472177</v>
      </c>
      <c r="D79" s="160">
        <v>765462</v>
      </c>
      <c r="E79" s="160">
        <v>1657965</v>
      </c>
      <c r="F79" s="160">
        <v>1646973</v>
      </c>
      <c r="G79" s="160">
        <v>1680920</v>
      </c>
      <c r="H79" s="160">
        <v>1716393</v>
      </c>
      <c r="I79" s="161">
        <f>IFERROR(H79/G79-1,"-")</f>
        <v>2.1103324369987853E-2</v>
      </c>
      <c r="J79" s="178">
        <f t="shared" ref="J79:J90" si="30">IFERROR(H79/E79-1,"-")</f>
        <v>3.5240792175950553E-2</v>
      </c>
      <c r="K79" s="160">
        <f t="shared" ref="K79:K89" si="31">H79-G79</f>
        <v>35473</v>
      </c>
      <c r="L79" s="160">
        <f t="shared" ref="L79:L90" si="32">H79-E79</f>
        <v>58428</v>
      </c>
      <c r="M79" s="161">
        <f>H79/H$8</f>
        <v>4.9070171632230541E-2</v>
      </c>
      <c r="N79" s="81"/>
    </row>
    <row r="80" spans="1:14" x14ac:dyDescent="0.25">
      <c r="A80" s="162" t="s">
        <v>108</v>
      </c>
      <c r="B80" s="163" t="s">
        <v>108</v>
      </c>
      <c r="C80" s="164">
        <v>71537</v>
      </c>
      <c r="D80" s="164">
        <v>181910</v>
      </c>
      <c r="E80" s="164">
        <v>249240</v>
      </c>
      <c r="F80" s="164">
        <v>256845</v>
      </c>
      <c r="G80" s="164">
        <v>287499</v>
      </c>
      <c r="H80" s="164">
        <v>239589</v>
      </c>
      <c r="I80" s="165">
        <f>IFERROR(H80/G80-1,"-")</f>
        <v>-0.16664405789237524</v>
      </c>
      <c r="J80" s="179">
        <f t="shared" si="30"/>
        <v>-3.8721714010592212E-2</v>
      </c>
      <c r="K80" s="164">
        <f t="shared" si="31"/>
        <v>-47910</v>
      </c>
      <c r="L80" s="164">
        <f t="shared" si="32"/>
        <v>-9651</v>
      </c>
      <c r="M80" s="165">
        <f>H80/H$8</f>
        <v>6.8496395354644794E-3</v>
      </c>
      <c r="N80" s="81"/>
    </row>
    <row r="81" spans="1:14" x14ac:dyDescent="0.25">
      <c r="A81" s="162" t="s">
        <v>105</v>
      </c>
      <c r="B81" s="163" t="s">
        <v>105</v>
      </c>
      <c r="C81" s="164">
        <v>400640</v>
      </c>
      <c r="D81" s="164">
        <v>583552</v>
      </c>
      <c r="E81" s="164">
        <v>1408725</v>
      </c>
      <c r="F81" s="164">
        <v>1390128</v>
      </c>
      <c r="G81" s="164">
        <v>1393421</v>
      </c>
      <c r="H81" s="164">
        <v>1476804</v>
      </c>
      <c r="I81" s="165">
        <f>IFERROR(H81/G81-1,"-")</f>
        <v>5.9840493289537111E-2</v>
      </c>
      <c r="J81" s="179">
        <f t="shared" si="30"/>
        <v>4.8326678379385646E-2</v>
      </c>
      <c r="K81" s="164">
        <f t="shared" si="31"/>
        <v>83383</v>
      </c>
      <c r="L81" s="164">
        <f t="shared" si="32"/>
        <v>68079</v>
      </c>
      <c r="M81" s="165">
        <f>H81/H$8</f>
        <v>4.2220532096766065E-2</v>
      </c>
      <c r="N81" s="81"/>
    </row>
    <row r="82" spans="1:14" x14ac:dyDescent="0.25">
      <c r="A82" s="1"/>
      <c r="B82" s="159" t="s">
        <v>112</v>
      </c>
      <c r="C82" s="160">
        <v>1074464</v>
      </c>
      <c r="D82" s="160">
        <v>1201900</v>
      </c>
      <c r="E82" s="160">
        <v>2696005</v>
      </c>
      <c r="F82" s="160">
        <v>3489313</v>
      </c>
      <c r="G82" s="160">
        <v>4081582</v>
      </c>
      <c r="H82" s="160">
        <v>3950023</v>
      </c>
      <c r="I82" s="161">
        <f>IFERROR(H82/G82-1,"-")</f>
        <v>-3.2232355003525615E-2</v>
      </c>
      <c r="J82" s="178">
        <f t="shared" si="30"/>
        <v>0.46513934506798016</v>
      </c>
      <c r="K82" s="160">
        <f t="shared" si="31"/>
        <v>-131559</v>
      </c>
      <c r="L82" s="160">
        <f t="shared" si="32"/>
        <v>1254018</v>
      </c>
      <c r="M82" s="161">
        <f>H82/H$8</f>
        <v>0.11292769579068325</v>
      </c>
      <c r="N82" s="81"/>
    </row>
    <row r="83" spans="1:14" s="57" customFormat="1" x14ac:dyDescent="0.25">
      <c r="B83" s="163" t="s">
        <v>115</v>
      </c>
      <c r="C83" s="164">
        <v>163077</v>
      </c>
      <c r="D83" s="164">
        <v>114301</v>
      </c>
      <c r="E83" s="164">
        <v>504044</v>
      </c>
      <c r="F83" s="164">
        <v>669954</v>
      </c>
      <c r="G83" s="164">
        <v>788206</v>
      </c>
      <c r="H83" s="164">
        <v>772586</v>
      </c>
      <c r="I83" s="165">
        <f t="shared" ref="I83:I90" si="33">IFERROR(H83/G83-1,"-")</f>
        <v>-1.9817154398723225E-2</v>
      </c>
      <c r="J83" s="179">
        <f t="shared" si="30"/>
        <v>0.53277491647554576</v>
      </c>
      <c r="K83" s="164">
        <f t="shared" si="31"/>
        <v>-15620</v>
      </c>
      <c r="L83" s="164">
        <f t="shared" si="32"/>
        <v>268542</v>
      </c>
      <c r="M83" s="165">
        <f t="shared" ref="M83:M90" si="34">H83/H$8</f>
        <v>2.2087556649705787E-2</v>
      </c>
      <c r="N83" s="166"/>
    </row>
    <row r="84" spans="1:14" s="57" customFormat="1" x14ac:dyDescent="0.25">
      <c r="B84" s="163" t="s">
        <v>118</v>
      </c>
      <c r="C84" s="164">
        <v>445011</v>
      </c>
      <c r="D84" s="164">
        <v>478237</v>
      </c>
      <c r="E84" s="164">
        <v>1014024</v>
      </c>
      <c r="F84" s="164">
        <v>1213964</v>
      </c>
      <c r="G84" s="164">
        <v>1379633</v>
      </c>
      <c r="H84" s="164">
        <v>1283316</v>
      </c>
      <c r="I84" s="165">
        <f t="shared" si="33"/>
        <v>-6.9813493878444488E-2</v>
      </c>
      <c r="J84" s="179">
        <f t="shared" si="30"/>
        <v>0.26556767887150601</v>
      </c>
      <c r="K84" s="164">
        <f t="shared" si="31"/>
        <v>-96317</v>
      </c>
      <c r="L84" s="164">
        <f t="shared" si="32"/>
        <v>269292</v>
      </c>
      <c r="M84" s="165">
        <f t="shared" si="34"/>
        <v>3.6688879748628417E-2</v>
      </c>
      <c r="N84" s="166"/>
    </row>
    <row r="85" spans="1:14" x14ac:dyDescent="0.25">
      <c r="A85" s="1"/>
      <c r="B85" s="163" t="s">
        <v>121</v>
      </c>
      <c r="C85" s="164">
        <v>48969</v>
      </c>
      <c r="D85" s="164">
        <v>105849</v>
      </c>
      <c r="E85" s="164">
        <v>179405</v>
      </c>
      <c r="F85" s="164">
        <v>274030</v>
      </c>
      <c r="G85" s="164">
        <v>384632</v>
      </c>
      <c r="H85" s="164">
        <v>380202</v>
      </c>
      <c r="I85" s="165">
        <f t="shared" si="33"/>
        <v>-1.1517502443894378E-2</v>
      </c>
      <c r="J85" s="179">
        <f t="shared" si="30"/>
        <v>1.1192385942420779</v>
      </c>
      <c r="K85" s="164">
        <f t="shared" si="31"/>
        <v>-4430</v>
      </c>
      <c r="L85" s="164">
        <f t="shared" si="32"/>
        <v>200797</v>
      </c>
      <c r="M85" s="165">
        <f t="shared" si="34"/>
        <v>1.0869641972973158E-2</v>
      </c>
      <c r="N85" s="81"/>
    </row>
    <row r="86" spans="1:14" x14ac:dyDescent="0.25">
      <c r="A86" s="1"/>
      <c r="B86" s="163" t="s">
        <v>128</v>
      </c>
      <c r="C86" s="164">
        <v>15102</v>
      </c>
      <c r="D86" s="164">
        <v>38224</v>
      </c>
      <c r="E86" s="164">
        <v>75513</v>
      </c>
      <c r="F86" s="164">
        <v>91057</v>
      </c>
      <c r="G86" s="164">
        <v>134723</v>
      </c>
      <c r="H86" s="164">
        <v>119140</v>
      </c>
      <c r="I86" s="165">
        <f t="shared" si="33"/>
        <v>-0.1156669610979566</v>
      </c>
      <c r="J86" s="179">
        <f t="shared" si="30"/>
        <v>0.57774158091984162</v>
      </c>
      <c r="K86" s="164">
        <f t="shared" si="31"/>
        <v>-15583</v>
      </c>
      <c r="L86" s="164">
        <f t="shared" si="32"/>
        <v>43627</v>
      </c>
      <c r="M86" s="165">
        <f t="shared" si="34"/>
        <v>3.4061081863325862E-3</v>
      </c>
      <c r="N86" s="81"/>
    </row>
    <row r="87" spans="1:14" x14ac:dyDescent="0.25">
      <c r="A87" s="1"/>
      <c r="B87" s="163" t="s">
        <v>124</v>
      </c>
      <c r="C87" s="164">
        <v>14962</v>
      </c>
      <c r="D87" s="164">
        <v>33300</v>
      </c>
      <c r="E87" s="164">
        <v>33738</v>
      </c>
      <c r="F87" s="164">
        <v>46238</v>
      </c>
      <c r="G87" s="164">
        <v>58968</v>
      </c>
      <c r="H87" s="164">
        <v>65101</v>
      </c>
      <c r="I87" s="165">
        <f t="shared" si="33"/>
        <v>0.10400556233889557</v>
      </c>
      <c r="J87" s="179">
        <f t="shared" si="30"/>
        <v>0.92960460015412893</v>
      </c>
      <c r="K87" s="164">
        <f t="shared" si="31"/>
        <v>6133</v>
      </c>
      <c r="L87" s="164">
        <f t="shared" si="32"/>
        <v>31363</v>
      </c>
      <c r="M87" s="165">
        <f t="shared" si="34"/>
        <v>1.8611805358270748E-3</v>
      </c>
      <c r="N87" s="81"/>
    </row>
    <row r="88" spans="1:14" x14ac:dyDescent="0.25">
      <c r="A88" s="1"/>
      <c r="B88" s="163" t="s">
        <v>133</v>
      </c>
      <c r="C88" s="164">
        <v>30460</v>
      </c>
      <c r="D88" s="164">
        <v>20871</v>
      </c>
      <c r="E88" s="164">
        <v>63463</v>
      </c>
      <c r="F88" s="164">
        <v>74920</v>
      </c>
      <c r="G88" s="164">
        <v>68668</v>
      </c>
      <c r="H88" s="164">
        <v>71595</v>
      </c>
      <c r="I88" s="165">
        <f t="shared" si="33"/>
        <v>4.2625385914836667E-2</v>
      </c>
      <c r="J88" s="179">
        <f t="shared" si="30"/>
        <v>0.12813765501158159</v>
      </c>
      <c r="K88" s="164">
        <f t="shared" si="31"/>
        <v>2927</v>
      </c>
      <c r="L88" s="164">
        <f t="shared" si="32"/>
        <v>8132</v>
      </c>
      <c r="M88" s="165">
        <f t="shared" si="34"/>
        <v>2.0468383045197376E-3</v>
      </c>
      <c r="N88" s="81"/>
    </row>
    <row r="89" spans="1:14" x14ac:dyDescent="0.25">
      <c r="A89" s="162" t="s">
        <v>149</v>
      </c>
      <c r="B89" s="163" t="s">
        <v>136</v>
      </c>
      <c r="C89" s="164">
        <v>50030</v>
      </c>
      <c r="D89" s="164">
        <v>22441</v>
      </c>
      <c r="E89" s="164">
        <v>59972</v>
      </c>
      <c r="F89" s="164">
        <v>81787</v>
      </c>
      <c r="G89" s="164">
        <v>80097</v>
      </c>
      <c r="H89" s="164">
        <v>67552</v>
      </c>
      <c r="I89" s="165">
        <f t="shared" si="33"/>
        <v>-0.15662259510343712</v>
      </c>
      <c r="J89" s="179">
        <f t="shared" si="30"/>
        <v>0.12639231641432658</v>
      </c>
      <c r="K89" s="164">
        <f t="shared" si="31"/>
        <v>-12545</v>
      </c>
      <c r="L89" s="164">
        <f t="shared" si="32"/>
        <v>7580</v>
      </c>
      <c r="M89" s="165">
        <f t="shared" si="34"/>
        <v>1.9312524777836066E-3</v>
      </c>
      <c r="N89" s="81"/>
    </row>
    <row r="90" spans="1:14" x14ac:dyDescent="0.25">
      <c r="A90" s="167" t="s">
        <v>150</v>
      </c>
      <c r="B90" s="168" t="s">
        <v>150</v>
      </c>
      <c r="C90" s="169">
        <f t="shared" ref="C90:H90" si="35">C82-SUM(C83:C89)</f>
        <v>306853</v>
      </c>
      <c r="D90" s="169">
        <f t="shared" si="35"/>
        <v>388677</v>
      </c>
      <c r="E90" s="169">
        <f t="shared" si="35"/>
        <v>765846</v>
      </c>
      <c r="F90" s="169">
        <f t="shared" si="35"/>
        <v>1037363</v>
      </c>
      <c r="G90" s="169">
        <f t="shared" si="35"/>
        <v>1186655</v>
      </c>
      <c r="H90" s="169">
        <f t="shared" si="35"/>
        <v>1190531</v>
      </c>
      <c r="I90" s="170">
        <f t="shared" si="33"/>
        <v>3.2663242475698961E-3</v>
      </c>
      <c r="J90" s="180">
        <f t="shared" si="30"/>
        <v>0.55453054530545298</v>
      </c>
      <c r="K90" s="169">
        <f>H90-G90</f>
        <v>3876</v>
      </c>
      <c r="L90" s="169">
        <f t="shared" si="32"/>
        <v>424685</v>
      </c>
      <c r="M90" s="170">
        <f t="shared" si="34"/>
        <v>3.4036237914912879E-2</v>
      </c>
      <c r="N90" s="81"/>
    </row>
    <row r="91" spans="1:14" s="146" customFormat="1" x14ac:dyDescent="0.25">
      <c r="B91" s="155" t="s">
        <v>51</v>
      </c>
      <c r="C91" s="153"/>
      <c r="D91" s="153"/>
      <c r="E91" s="153"/>
      <c r="F91" s="153"/>
      <c r="G91" s="153"/>
      <c r="H91" s="153"/>
      <c r="I91" s="153"/>
      <c r="J91" s="153"/>
      <c r="K91" s="153"/>
      <c r="L91" s="153"/>
      <c r="M91" s="153"/>
    </row>
    <row r="92" spans="1:14" x14ac:dyDescent="0.25">
      <c r="A92" s="1">
        <v>3</v>
      </c>
      <c r="B92" s="156" t="s">
        <v>73</v>
      </c>
      <c r="C92" s="176">
        <v>59047</v>
      </c>
      <c r="D92" s="176">
        <v>83402</v>
      </c>
      <c r="E92" s="176">
        <v>137757</v>
      </c>
      <c r="F92" s="176">
        <v>148334</v>
      </c>
      <c r="G92" s="176">
        <v>152300</v>
      </c>
      <c r="H92" s="176">
        <v>152519</v>
      </c>
      <c r="I92" s="177">
        <f>IFERROR(H92/G92-1,"-")</f>
        <v>1.4379514116875658E-3</v>
      </c>
      <c r="J92" s="177">
        <f>IFERROR(H92/E92-1,"-")</f>
        <v>0.10715970876253111</v>
      </c>
      <c r="K92" s="176">
        <f>H92-G92</f>
        <v>219</v>
      </c>
      <c r="L92" s="176">
        <f>H92-E92</f>
        <v>14762</v>
      </c>
      <c r="M92" s="177">
        <f>H92/H$8</f>
        <v>4.3603845431530947E-3</v>
      </c>
      <c r="N92" s="81"/>
    </row>
    <row r="93" spans="1:14" x14ac:dyDescent="0.25">
      <c r="A93" s="1" t="s">
        <v>101</v>
      </c>
      <c r="B93" s="159" t="s">
        <v>102</v>
      </c>
      <c r="C93" s="160">
        <v>31800</v>
      </c>
      <c r="D93" s="160">
        <v>42063</v>
      </c>
      <c r="E93" s="160">
        <v>70951</v>
      </c>
      <c r="F93" s="160">
        <v>72432</v>
      </c>
      <c r="G93" s="160">
        <v>71061</v>
      </c>
      <c r="H93" s="160">
        <v>73935</v>
      </c>
      <c r="I93" s="161">
        <f>IFERROR(H93/G93-1,"-")</f>
        <v>4.0444125469666803E-2</v>
      </c>
      <c r="J93" s="178">
        <f t="shared" ref="J93:J104" si="36">IFERROR(H93/E93-1,"-")</f>
        <v>4.2057194401770248E-2</v>
      </c>
      <c r="K93" s="160">
        <f t="shared" ref="K93:K103" si="37">H93-G93</f>
        <v>2874</v>
      </c>
      <c r="L93" s="160">
        <f t="shared" ref="L93:L104" si="38">H93-E93</f>
        <v>2984</v>
      </c>
      <c r="M93" s="161">
        <f>H93/H$8</f>
        <v>2.1137368537560834E-3</v>
      </c>
      <c r="N93" s="81"/>
    </row>
    <row r="94" spans="1:14" x14ac:dyDescent="0.25">
      <c r="A94" s="162" t="s">
        <v>108</v>
      </c>
      <c r="B94" s="163" t="s">
        <v>108</v>
      </c>
      <c r="C94" s="164">
        <v>15549</v>
      </c>
      <c r="D94" s="164">
        <v>20037</v>
      </c>
      <c r="E94" s="164">
        <v>30228</v>
      </c>
      <c r="F94" s="164">
        <v>19606</v>
      </c>
      <c r="G94" s="164">
        <v>21646</v>
      </c>
      <c r="H94" s="164">
        <v>26636</v>
      </c>
      <c r="I94" s="165">
        <f>IFERROR(H94/G94-1,"-")</f>
        <v>0.23052758015337704</v>
      </c>
      <c r="J94" s="179">
        <f t="shared" si="36"/>
        <v>-0.11883022363371709</v>
      </c>
      <c r="K94" s="164">
        <f t="shared" si="37"/>
        <v>4990</v>
      </c>
      <c r="L94" s="164">
        <f t="shared" si="38"/>
        <v>-3592</v>
      </c>
      <c r="M94" s="165">
        <f>H94/H$8</f>
        <v>7.6149989635013236E-4</v>
      </c>
      <c r="N94" s="81"/>
    </row>
    <row r="95" spans="1:14" x14ac:dyDescent="0.25">
      <c r="A95" s="162" t="s">
        <v>105</v>
      </c>
      <c r="B95" s="163" t="s">
        <v>105</v>
      </c>
      <c r="C95" s="164">
        <v>16251</v>
      </c>
      <c r="D95" s="164">
        <v>22026</v>
      </c>
      <c r="E95" s="164">
        <v>40723</v>
      </c>
      <c r="F95" s="164">
        <v>52826</v>
      </c>
      <c r="G95" s="164">
        <v>49415</v>
      </c>
      <c r="H95" s="164">
        <v>47299</v>
      </c>
      <c r="I95" s="165">
        <f>IFERROR(H95/G95-1,"-")</f>
        <v>-4.2821005767479492E-2</v>
      </c>
      <c r="J95" s="179">
        <f t="shared" si="36"/>
        <v>0.16148122682513577</v>
      </c>
      <c r="K95" s="164">
        <f t="shared" si="37"/>
        <v>-2116</v>
      </c>
      <c r="L95" s="164">
        <f t="shared" si="38"/>
        <v>6576</v>
      </c>
      <c r="M95" s="165">
        <f>H95/H$8</f>
        <v>1.3522369574059511E-3</v>
      </c>
      <c r="N95" s="81"/>
    </row>
    <row r="96" spans="1:14" x14ac:dyDescent="0.25">
      <c r="A96" s="1"/>
      <c r="B96" s="159" t="s">
        <v>112</v>
      </c>
      <c r="C96" s="160">
        <v>27247</v>
      </c>
      <c r="D96" s="160">
        <v>41339</v>
      </c>
      <c r="E96" s="160">
        <v>66806</v>
      </c>
      <c r="F96" s="160">
        <v>75902</v>
      </c>
      <c r="G96" s="160">
        <v>81239</v>
      </c>
      <c r="H96" s="160">
        <v>78584</v>
      </c>
      <c r="I96" s="161">
        <f>IFERROR(H96/G96-1,"-")</f>
        <v>-3.2681347628601976E-2</v>
      </c>
      <c r="J96" s="178">
        <f t="shared" si="36"/>
        <v>0.17630152980271241</v>
      </c>
      <c r="K96" s="160">
        <f t="shared" si="37"/>
        <v>-2655</v>
      </c>
      <c r="L96" s="160">
        <f t="shared" si="38"/>
        <v>11778</v>
      </c>
      <c r="M96" s="161">
        <f>H96/H$8</f>
        <v>2.2466476893970118E-3</v>
      </c>
      <c r="N96" s="81"/>
    </row>
    <row r="97" spans="1:14" s="57" customFormat="1" x14ac:dyDescent="0.25">
      <c r="B97" s="163" t="s">
        <v>115</v>
      </c>
      <c r="C97" s="164">
        <v>5019</v>
      </c>
      <c r="D97" s="164">
        <v>3494</v>
      </c>
      <c r="E97" s="164">
        <v>9249</v>
      </c>
      <c r="F97" s="164">
        <v>11177</v>
      </c>
      <c r="G97" s="164">
        <v>12296</v>
      </c>
      <c r="H97" s="164">
        <v>9734</v>
      </c>
      <c r="I97" s="165">
        <f t="shared" ref="I97:I104" si="39">IFERROR(H97/G97-1,"-")</f>
        <v>-0.20836044242029927</v>
      </c>
      <c r="J97" s="179">
        <f t="shared" si="36"/>
        <v>5.2438101416369287E-2</v>
      </c>
      <c r="K97" s="164">
        <f t="shared" si="37"/>
        <v>-2562</v>
      </c>
      <c r="L97" s="164">
        <f t="shared" si="38"/>
        <v>485</v>
      </c>
      <c r="M97" s="165">
        <f t="shared" ref="M97:M104" si="40">H97/H$8</f>
        <v>2.7828652917375688E-4</v>
      </c>
      <c r="N97" s="166"/>
    </row>
    <row r="98" spans="1:14" s="57" customFormat="1" x14ac:dyDescent="0.25">
      <c r="B98" s="163" t="s">
        <v>118</v>
      </c>
      <c r="C98" s="164">
        <v>7473</v>
      </c>
      <c r="D98" s="164">
        <v>15393</v>
      </c>
      <c r="E98" s="164">
        <v>21050</v>
      </c>
      <c r="F98" s="164">
        <v>22639</v>
      </c>
      <c r="G98" s="164">
        <v>25055</v>
      </c>
      <c r="H98" s="164">
        <v>23641</v>
      </c>
      <c r="I98" s="165">
        <f t="shared" si="39"/>
        <v>-5.64358411494712E-2</v>
      </c>
      <c r="J98" s="179">
        <f t="shared" si="36"/>
        <v>0.12308788598574827</v>
      </c>
      <c r="K98" s="164">
        <f t="shared" si="37"/>
        <v>-1414</v>
      </c>
      <c r="L98" s="164">
        <f t="shared" si="38"/>
        <v>2591</v>
      </c>
      <c r="M98" s="165">
        <f t="shared" si="40"/>
        <v>6.7587547115233063E-4</v>
      </c>
      <c r="N98" s="166"/>
    </row>
    <row r="99" spans="1:14" x14ac:dyDescent="0.25">
      <c r="A99" s="1"/>
      <c r="B99" s="163" t="s">
        <v>121</v>
      </c>
      <c r="C99" s="164">
        <v>4658</v>
      </c>
      <c r="D99" s="164">
        <v>7148</v>
      </c>
      <c r="E99" s="164">
        <v>7881</v>
      </c>
      <c r="F99" s="164">
        <v>8902</v>
      </c>
      <c r="G99" s="164">
        <v>9750</v>
      </c>
      <c r="H99" s="164">
        <v>9685</v>
      </c>
      <c r="I99" s="165">
        <f t="shared" si="39"/>
        <v>-6.6666666666667096E-3</v>
      </c>
      <c r="J99" s="179">
        <f t="shared" si="36"/>
        <v>0.22890496129932747</v>
      </c>
      <c r="K99" s="164">
        <f t="shared" si="37"/>
        <v>-65</v>
      </c>
      <c r="L99" s="164">
        <f t="shared" si="38"/>
        <v>1804</v>
      </c>
      <c r="M99" s="165">
        <f t="shared" si="40"/>
        <v>2.7688566211709839E-4</v>
      </c>
      <c r="N99" s="81"/>
    </row>
    <row r="100" spans="1:14" x14ac:dyDescent="0.25">
      <c r="A100" s="1"/>
      <c r="B100" s="163" t="s">
        <v>128</v>
      </c>
      <c r="C100" s="164">
        <v>940</v>
      </c>
      <c r="D100" s="164">
        <v>1385</v>
      </c>
      <c r="E100" s="164">
        <v>4981</v>
      </c>
      <c r="F100" s="164">
        <v>3623</v>
      </c>
      <c r="G100" s="164">
        <v>3800</v>
      </c>
      <c r="H100" s="164">
        <v>2844</v>
      </c>
      <c r="I100" s="165">
        <f t="shared" si="39"/>
        <v>-0.25157894736842101</v>
      </c>
      <c r="J100" s="179">
        <f t="shared" si="36"/>
        <v>-0.42903031519775148</v>
      </c>
      <c r="K100" s="164">
        <f t="shared" si="37"/>
        <v>-956</v>
      </c>
      <c r="L100" s="164">
        <f t="shared" si="38"/>
        <v>-2137</v>
      </c>
      <c r="M100" s="165">
        <f t="shared" si="40"/>
        <v>8.1307467533405029E-5</v>
      </c>
      <c r="N100" s="81"/>
    </row>
    <row r="101" spans="1:14" x14ac:dyDescent="0.25">
      <c r="A101" s="1"/>
      <c r="B101" s="163" t="s">
        <v>124</v>
      </c>
      <c r="C101" s="164">
        <v>788</v>
      </c>
      <c r="D101" s="164">
        <v>1315</v>
      </c>
      <c r="E101" s="164">
        <v>1892</v>
      </c>
      <c r="F101" s="164">
        <v>1812</v>
      </c>
      <c r="G101" s="164">
        <v>2358</v>
      </c>
      <c r="H101" s="164">
        <v>2832</v>
      </c>
      <c r="I101" s="165">
        <f t="shared" si="39"/>
        <v>0.20101781170483468</v>
      </c>
      <c r="J101" s="179">
        <f t="shared" si="36"/>
        <v>0.49682875264270621</v>
      </c>
      <c r="K101" s="164">
        <f t="shared" si="37"/>
        <v>474</v>
      </c>
      <c r="L101" s="164">
        <f t="shared" si="38"/>
        <v>940</v>
      </c>
      <c r="M101" s="165">
        <f t="shared" si="40"/>
        <v>8.0964398050141723E-5</v>
      </c>
      <c r="N101" s="81"/>
    </row>
    <row r="102" spans="1:14" x14ac:dyDescent="0.25">
      <c r="A102" s="1"/>
      <c r="B102" s="163" t="s">
        <v>133</v>
      </c>
      <c r="C102" s="164">
        <v>599</v>
      </c>
      <c r="D102" s="164">
        <v>275</v>
      </c>
      <c r="E102" s="164">
        <v>817</v>
      </c>
      <c r="F102" s="164">
        <v>420</v>
      </c>
      <c r="G102" s="164">
        <v>782</v>
      </c>
      <c r="H102" s="164">
        <v>445</v>
      </c>
      <c r="I102" s="165">
        <f t="shared" si="39"/>
        <v>-0.43094629156010233</v>
      </c>
      <c r="J102" s="179">
        <f t="shared" si="36"/>
        <v>-0.45532435740514077</v>
      </c>
      <c r="K102" s="164">
        <f t="shared" si="37"/>
        <v>-337</v>
      </c>
      <c r="L102" s="164">
        <f t="shared" si="38"/>
        <v>-372</v>
      </c>
      <c r="M102" s="165">
        <f t="shared" si="40"/>
        <v>1.2722160004347834E-5</v>
      </c>
      <c r="N102" s="81"/>
    </row>
    <row r="103" spans="1:14" x14ac:dyDescent="0.25">
      <c r="A103" s="162" t="s">
        <v>149</v>
      </c>
      <c r="B103" s="163" t="s">
        <v>136</v>
      </c>
      <c r="C103" s="164">
        <v>259</v>
      </c>
      <c r="D103" s="164">
        <v>259</v>
      </c>
      <c r="E103" s="164">
        <v>385</v>
      </c>
      <c r="F103" s="164">
        <v>950</v>
      </c>
      <c r="G103" s="164">
        <v>1244</v>
      </c>
      <c r="H103" s="164">
        <v>740</v>
      </c>
      <c r="I103" s="165">
        <f t="shared" si="39"/>
        <v>-0.40514469453376201</v>
      </c>
      <c r="J103" s="179">
        <f t="shared" si="36"/>
        <v>0.92207792207792205</v>
      </c>
      <c r="K103" s="164">
        <f t="shared" si="37"/>
        <v>-504</v>
      </c>
      <c r="L103" s="164">
        <f t="shared" si="38"/>
        <v>355</v>
      </c>
      <c r="M103" s="165">
        <f t="shared" si="40"/>
        <v>2.1155951467904264E-5</v>
      </c>
      <c r="N103" s="81"/>
    </row>
    <row r="104" spans="1:14" x14ac:dyDescent="0.25">
      <c r="A104" s="167" t="s">
        <v>150</v>
      </c>
      <c r="B104" s="168" t="s">
        <v>150</v>
      </c>
      <c r="C104" s="169">
        <f t="shared" ref="C104:H104" si="41">C96-SUM(C97:C103)</f>
        <v>7511</v>
      </c>
      <c r="D104" s="169">
        <f t="shared" si="41"/>
        <v>12070</v>
      </c>
      <c r="E104" s="169">
        <f t="shared" si="41"/>
        <v>20551</v>
      </c>
      <c r="F104" s="169">
        <f t="shared" si="41"/>
        <v>26379</v>
      </c>
      <c r="G104" s="169">
        <f t="shared" si="41"/>
        <v>25954</v>
      </c>
      <c r="H104" s="169">
        <f t="shared" si="41"/>
        <v>28663</v>
      </c>
      <c r="I104" s="170">
        <f t="shared" si="39"/>
        <v>0.10437697464745321</v>
      </c>
      <c r="J104" s="180">
        <f t="shared" si="36"/>
        <v>0.39472531750279782</v>
      </c>
      <c r="K104" s="169">
        <f>H104-G104</f>
        <v>2709</v>
      </c>
      <c r="L104" s="169">
        <f t="shared" si="38"/>
        <v>8112</v>
      </c>
      <c r="M104" s="170">
        <f t="shared" si="40"/>
        <v>8.194500498980269E-4</v>
      </c>
      <c r="N104" s="81"/>
    </row>
    <row r="105" spans="1:14" s="146" customFormat="1" x14ac:dyDescent="0.25">
      <c r="B105" s="155" t="s">
        <v>52</v>
      </c>
      <c r="C105" s="153"/>
      <c r="D105" s="153"/>
      <c r="E105" s="153"/>
      <c r="F105" s="153"/>
      <c r="G105" s="153"/>
      <c r="H105" s="153"/>
      <c r="I105" s="153"/>
      <c r="J105" s="153"/>
      <c r="K105" s="153"/>
      <c r="L105" s="153"/>
      <c r="M105" s="153"/>
    </row>
    <row r="106" spans="1:14" x14ac:dyDescent="0.25">
      <c r="A106" s="1">
        <v>3</v>
      </c>
      <c r="B106" s="156" t="s">
        <v>73</v>
      </c>
      <c r="C106" s="176">
        <v>442013</v>
      </c>
      <c r="D106" s="176">
        <v>749212</v>
      </c>
      <c r="E106" s="176">
        <v>1316064</v>
      </c>
      <c r="F106" s="176">
        <v>1447168</v>
      </c>
      <c r="G106" s="176">
        <v>1453294</v>
      </c>
      <c r="H106" s="176">
        <v>1411233</v>
      </c>
      <c r="I106" s="177">
        <f>IFERROR(H106/G106-1,"-")</f>
        <v>-2.8941838334156755E-2</v>
      </c>
      <c r="J106" s="177">
        <f>IFERROR(H106/E106-1,"-")</f>
        <v>7.2313352542125564E-2</v>
      </c>
      <c r="K106" s="176">
        <f>H106-G106</f>
        <v>-42061</v>
      </c>
      <c r="L106" s="176">
        <f>H106-E106</f>
        <v>95169</v>
      </c>
      <c r="M106" s="177">
        <f>H106/H$8</f>
        <v>4.0345914672844513E-2</v>
      </c>
      <c r="N106" s="81"/>
    </row>
    <row r="107" spans="1:14" x14ac:dyDescent="0.25">
      <c r="A107" s="1" t="s">
        <v>101</v>
      </c>
      <c r="B107" s="159" t="s">
        <v>102</v>
      </c>
      <c r="C107" s="160">
        <v>125264</v>
      </c>
      <c r="D107" s="160">
        <v>199003</v>
      </c>
      <c r="E107" s="160">
        <v>220579</v>
      </c>
      <c r="F107" s="160">
        <v>219096</v>
      </c>
      <c r="G107" s="160">
        <v>207819</v>
      </c>
      <c r="H107" s="160">
        <v>216184</v>
      </c>
      <c r="I107" s="161">
        <f>IFERROR(H107/G107-1,"-")</f>
        <v>4.0251372588646861E-2</v>
      </c>
      <c r="J107" s="178">
        <f t="shared" ref="J107:J118" si="42">IFERROR(H107/E107-1,"-")</f>
        <v>-1.9924834186391238E-2</v>
      </c>
      <c r="K107" s="160">
        <f t="shared" ref="K107:K117" si="43">H107-G107</f>
        <v>8365</v>
      </c>
      <c r="L107" s="160">
        <f t="shared" ref="L107:L118" si="44">H107-E107</f>
        <v>-4395</v>
      </c>
      <c r="M107" s="161">
        <f>H107/H$8</f>
        <v>6.1805110974829935E-3</v>
      </c>
      <c r="N107" s="81"/>
    </row>
    <row r="108" spans="1:14" x14ac:dyDescent="0.25">
      <c r="A108" s="162" t="s">
        <v>108</v>
      </c>
      <c r="B108" s="163" t="s">
        <v>108</v>
      </c>
      <c r="C108" s="164">
        <v>16702</v>
      </c>
      <c r="D108" s="164">
        <v>106031</v>
      </c>
      <c r="E108" s="164">
        <v>75504</v>
      </c>
      <c r="F108" s="164">
        <v>57419</v>
      </c>
      <c r="G108" s="164">
        <v>59079</v>
      </c>
      <c r="H108" s="164">
        <v>76236</v>
      </c>
      <c r="I108" s="165">
        <f>IFERROR(H108/G108-1,"-")</f>
        <v>0.29040775910221917</v>
      </c>
      <c r="J108" s="179">
        <f t="shared" si="42"/>
        <v>9.694850603941596E-3</v>
      </c>
      <c r="K108" s="164">
        <f t="shared" si="43"/>
        <v>17157</v>
      </c>
      <c r="L108" s="164">
        <f t="shared" si="44"/>
        <v>732</v>
      </c>
      <c r="M108" s="165">
        <f>H108/H$8</f>
        <v>2.1795204271718234E-3</v>
      </c>
      <c r="N108" s="81"/>
    </row>
    <row r="109" spans="1:14" x14ac:dyDescent="0.25">
      <c r="A109" s="162" t="s">
        <v>105</v>
      </c>
      <c r="B109" s="163" t="s">
        <v>105</v>
      </c>
      <c r="C109" s="164">
        <v>108562</v>
      </c>
      <c r="D109" s="164">
        <v>92972</v>
      </c>
      <c r="E109" s="164">
        <v>145075</v>
      </c>
      <c r="F109" s="164">
        <v>161677</v>
      </c>
      <c r="G109" s="164">
        <v>148740</v>
      </c>
      <c r="H109" s="164">
        <v>139948</v>
      </c>
      <c r="I109" s="165">
        <f>IFERROR(H109/G109-1,"-")</f>
        <v>-5.9109856124781479E-2</v>
      </c>
      <c r="J109" s="179">
        <f t="shared" si="42"/>
        <v>-3.5340341202826142E-2</v>
      </c>
      <c r="K109" s="164">
        <f t="shared" si="43"/>
        <v>-8792</v>
      </c>
      <c r="L109" s="164">
        <f t="shared" si="44"/>
        <v>-5127</v>
      </c>
      <c r="M109" s="165">
        <f>H109/H$8</f>
        <v>4.0009906703111697E-3</v>
      </c>
      <c r="N109" s="81"/>
    </row>
    <row r="110" spans="1:14" x14ac:dyDescent="0.25">
      <c r="A110" s="1"/>
      <c r="B110" s="159" t="s">
        <v>112</v>
      </c>
      <c r="C110" s="160">
        <v>316749</v>
      </c>
      <c r="D110" s="160">
        <v>550209</v>
      </c>
      <c r="E110" s="160">
        <v>1095485</v>
      </c>
      <c r="F110" s="160">
        <v>1228072</v>
      </c>
      <c r="G110" s="160">
        <v>1245475</v>
      </c>
      <c r="H110" s="160">
        <v>1195049</v>
      </c>
      <c r="I110" s="161">
        <f>IFERROR(H110/G110-1,"-")</f>
        <v>-4.048736425861621E-2</v>
      </c>
      <c r="J110" s="178">
        <f t="shared" si="42"/>
        <v>9.0885772055299796E-2</v>
      </c>
      <c r="K110" s="160">
        <f t="shared" si="43"/>
        <v>-50426</v>
      </c>
      <c r="L110" s="160">
        <f t="shared" si="44"/>
        <v>99564</v>
      </c>
      <c r="M110" s="161">
        <f>H110/H$8</f>
        <v>3.4165403575361519E-2</v>
      </c>
      <c r="N110" s="81"/>
    </row>
    <row r="111" spans="1:14" s="57" customFormat="1" x14ac:dyDescent="0.25">
      <c r="B111" s="163" t="s">
        <v>115</v>
      </c>
      <c r="C111" s="164">
        <v>181253</v>
      </c>
      <c r="D111" s="164">
        <v>251557</v>
      </c>
      <c r="E111" s="164">
        <v>673877</v>
      </c>
      <c r="F111" s="164">
        <v>775590</v>
      </c>
      <c r="G111" s="164">
        <v>761721</v>
      </c>
      <c r="H111" s="164">
        <v>693060</v>
      </c>
      <c r="I111" s="165">
        <f t="shared" ref="I111:I118" si="45">IFERROR(H111/G111-1,"-")</f>
        <v>-9.0139302973135882E-2</v>
      </c>
      <c r="J111" s="179">
        <f t="shared" si="42"/>
        <v>2.8466619279186034E-2</v>
      </c>
      <c r="K111" s="164">
        <f t="shared" si="43"/>
        <v>-68661</v>
      </c>
      <c r="L111" s="164">
        <f t="shared" si="44"/>
        <v>19183</v>
      </c>
      <c r="M111" s="165">
        <f t="shared" ref="M111:M118" si="46">H111/H$8</f>
        <v>1.9813978005872607E-2</v>
      </c>
      <c r="N111" s="166"/>
    </row>
    <row r="112" spans="1:14" s="57" customFormat="1" x14ac:dyDescent="0.25">
      <c r="B112" s="163" t="s">
        <v>118</v>
      </c>
      <c r="C112" s="164">
        <v>22554</v>
      </c>
      <c r="D112" s="164">
        <v>57079</v>
      </c>
      <c r="E112" s="164">
        <v>45927</v>
      </c>
      <c r="F112" s="164">
        <v>60304</v>
      </c>
      <c r="G112" s="164">
        <v>60756</v>
      </c>
      <c r="H112" s="164">
        <v>64460</v>
      </c>
      <c r="I112" s="165">
        <f t="shared" si="45"/>
        <v>6.096517216406605E-2</v>
      </c>
      <c r="J112" s="179">
        <f t="shared" si="42"/>
        <v>0.40353169159753532</v>
      </c>
      <c r="K112" s="164">
        <f t="shared" si="43"/>
        <v>3704</v>
      </c>
      <c r="L112" s="164">
        <f t="shared" si="44"/>
        <v>18533</v>
      </c>
      <c r="M112" s="165">
        <f t="shared" si="46"/>
        <v>1.842854907596093E-3</v>
      </c>
      <c r="N112" s="166"/>
    </row>
    <row r="113" spans="1:14" x14ac:dyDescent="0.25">
      <c r="A113" s="1"/>
      <c r="B113" s="163" t="s">
        <v>121</v>
      </c>
      <c r="C113" s="164">
        <v>13883</v>
      </c>
      <c r="D113" s="164">
        <v>67210</v>
      </c>
      <c r="E113" s="164">
        <v>65652</v>
      </c>
      <c r="F113" s="164">
        <v>76293</v>
      </c>
      <c r="G113" s="164">
        <v>85229</v>
      </c>
      <c r="H113" s="164">
        <v>102486</v>
      </c>
      <c r="I113" s="165">
        <f t="shared" si="45"/>
        <v>0.20247802977859641</v>
      </c>
      <c r="J113" s="179">
        <f t="shared" si="42"/>
        <v>0.56104916834216789</v>
      </c>
      <c r="K113" s="164">
        <f t="shared" si="43"/>
        <v>17257</v>
      </c>
      <c r="L113" s="164">
        <f t="shared" si="44"/>
        <v>36834</v>
      </c>
      <c r="M113" s="165">
        <f t="shared" si="46"/>
        <v>2.9299849218103195E-3</v>
      </c>
      <c r="N113" s="81"/>
    </row>
    <row r="114" spans="1:14" x14ac:dyDescent="0.25">
      <c r="A114" s="1"/>
      <c r="B114" s="163" t="s">
        <v>128</v>
      </c>
      <c r="C114" s="164">
        <v>9005</v>
      </c>
      <c r="D114" s="164">
        <v>29461</v>
      </c>
      <c r="E114" s="164">
        <v>41263</v>
      </c>
      <c r="F114" s="164">
        <v>42135</v>
      </c>
      <c r="G114" s="164">
        <v>41377</v>
      </c>
      <c r="H114" s="164">
        <v>42484</v>
      </c>
      <c r="I114" s="165">
        <f t="shared" si="45"/>
        <v>2.6753993764651929E-2</v>
      </c>
      <c r="J114" s="179">
        <f t="shared" si="42"/>
        <v>2.9590674454111454E-2</v>
      </c>
      <c r="K114" s="164">
        <f t="shared" si="43"/>
        <v>1107</v>
      </c>
      <c r="L114" s="164">
        <f t="shared" si="44"/>
        <v>1221</v>
      </c>
      <c r="M114" s="165">
        <f t="shared" si="46"/>
        <v>1.214580327246547E-3</v>
      </c>
      <c r="N114" s="81"/>
    </row>
    <row r="115" spans="1:14" x14ac:dyDescent="0.25">
      <c r="A115" s="1"/>
      <c r="B115" s="163" t="s">
        <v>124</v>
      </c>
      <c r="C115" s="164">
        <v>19818</v>
      </c>
      <c r="D115" s="164">
        <v>36897</v>
      </c>
      <c r="E115" s="164">
        <v>41249</v>
      </c>
      <c r="F115" s="164">
        <v>42266</v>
      </c>
      <c r="G115" s="164">
        <v>33197</v>
      </c>
      <c r="H115" s="164">
        <v>33804</v>
      </c>
      <c r="I115" s="165">
        <f t="shared" si="45"/>
        <v>1.8284784769708073E-2</v>
      </c>
      <c r="J115" s="179">
        <f t="shared" si="42"/>
        <v>-0.18048922398118739</v>
      </c>
      <c r="K115" s="164">
        <f t="shared" si="43"/>
        <v>607</v>
      </c>
      <c r="L115" s="164">
        <f t="shared" si="44"/>
        <v>-7445</v>
      </c>
      <c r="M115" s="165">
        <f t="shared" si="46"/>
        <v>9.6642673435275096E-4</v>
      </c>
      <c r="N115" s="81"/>
    </row>
    <row r="116" spans="1:14" x14ac:dyDescent="0.25">
      <c r="A116" s="1"/>
      <c r="B116" s="163" t="s">
        <v>133</v>
      </c>
      <c r="C116" s="164">
        <v>2343</v>
      </c>
      <c r="D116" s="164">
        <v>2314</v>
      </c>
      <c r="E116" s="164">
        <v>11983</v>
      </c>
      <c r="F116" s="164">
        <v>11780</v>
      </c>
      <c r="G116" s="164">
        <v>11633</v>
      </c>
      <c r="H116" s="164">
        <v>9289</v>
      </c>
      <c r="I116" s="165">
        <f t="shared" si="45"/>
        <v>-0.20149574486374966</v>
      </c>
      <c r="J116" s="179">
        <f t="shared" si="42"/>
        <v>-0.22481849286489197</v>
      </c>
      <c r="K116" s="164">
        <f t="shared" si="43"/>
        <v>-2344</v>
      </c>
      <c r="L116" s="164">
        <f t="shared" si="44"/>
        <v>-2694</v>
      </c>
      <c r="M116" s="165">
        <f t="shared" si="46"/>
        <v>2.6556436916940905E-4</v>
      </c>
      <c r="N116" s="81"/>
    </row>
    <row r="117" spans="1:14" x14ac:dyDescent="0.25">
      <c r="A117" s="162" t="s">
        <v>149</v>
      </c>
      <c r="B117" s="163" t="s">
        <v>136</v>
      </c>
      <c r="C117" s="164">
        <v>7286</v>
      </c>
      <c r="D117" s="164">
        <v>3610</v>
      </c>
      <c r="E117" s="164">
        <v>7507</v>
      </c>
      <c r="F117" s="164">
        <v>7656</v>
      </c>
      <c r="G117" s="164">
        <v>10984</v>
      </c>
      <c r="H117" s="164">
        <v>6717</v>
      </c>
      <c r="I117" s="165">
        <f t="shared" si="45"/>
        <v>-0.38847414420975968</v>
      </c>
      <c r="J117" s="179">
        <f t="shared" si="42"/>
        <v>-0.10523511389369922</v>
      </c>
      <c r="K117" s="164">
        <f t="shared" si="43"/>
        <v>-4267</v>
      </c>
      <c r="L117" s="164">
        <f t="shared" si="44"/>
        <v>-790</v>
      </c>
      <c r="M117" s="165">
        <f t="shared" si="46"/>
        <v>1.9203314325663909E-4</v>
      </c>
      <c r="N117" s="81"/>
    </row>
    <row r="118" spans="1:14" x14ac:dyDescent="0.25">
      <c r="A118" s="167" t="s">
        <v>150</v>
      </c>
      <c r="B118" s="168" t="s">
        <v>150</v>
      </c>
      <c r="C118" s="169">
        <f t="shared" ref="C118:H118" si="47">C110-SUM(C111:C117)</f>
        <v>60607</v>
      </c>
      <c r="D118" s="169">
        <f t="shared" si="47"/>
        <v>102081</v>
      </c>
      <c r="E118" s="169">
        <f t="shared" si="47"/>
        <v>208027</v>
      </c>
      <c r="F118" s="169">
        <f t="shared" si="47"/>
        <v>212048</v>
      </c>
      <c r="G118" s="169">
        <f t="shared" si="47"/>
        <v>240578</v>
      </c>
      <c r="H118" s="169">
        <f t="shared" si="47"/>
        <v>242749</v>
      </c>
      <c r="I118" s="170">
        <f t="shared" si="45"/>
        <v>9.0241002917972324E-3</v>
      </c>
      <c r="J118" s="180">
        <f t="shared" si="42"/>
        <v>0.16691102597259011</v>
      </c>
      <c r="K118" s="169">
        <f>H118-G118</f>
        <v>2171</v>
      </c>
      <c r="L118" s="169">
        <f t="shared" si="44"/>
        <v>34722</v>
      </c>
      <c r="M118" s="170">
        <f t="shared" si="46"/>
        <v>6.9399811660571511E-3</v>
      </c>
      <c r="N118" s="81"/>
    </row>
    <row r="119" spans="1:14" s="146" customFormat="1" x14ac:dyDescent="0.25">
      <c r="B119" s="155" t="s">
        <v>53</v>
      </c>
      <c r="C119" s="153"/>
      <c r="D119" s="153"/>
      <c r="E119" s="153"/>
      <c r="F119" s="153"/>
      <c r="G119" s="153"/>
      <c r="H119" s="153"/>
      <c r="I119" s="153"/>
      <c r="J119" s="153"/>
      <c r="K119" s="153"/>
      <c r="L119" s="153"/>
      <c r="M119" s="153"/>
    </row>
    <row r="120" spans="1:14" x14ac:dyDescent="0.25">
      <c r="A120" s="1">
        <v>3</v>
      </c>
      <c r="B120" s="156" t="s">
        <v>73</v>
      </c>
      <c r="C120" s="176">
        <v>216673</v>
      </c>
      <c r="D120" s="176">
        <v>359169</v>
      </c>
      <c r="E120" s="176">
        <v>543499</v>
      </c>
      <c r="F120" s="176">
        <v>577841</v>
      </c>
      <c r="G120" s="176">
        <v>583363</v>
      </c>
      <c r="H120" s="176">
        <v>615470</v>
      </c>
      <c r="I120" s="177">
        <f>IFERROR(H120/G120-1,"-")</f>
        <v>5.5037772364719739E-2</v>
      </c>
      <c r="J120" s="177">
        <f>IFERROR(H120/E120-1,"-")</f>
        <v>0.13242158679224802</v>
      </c>
      <c r="K120" s="176">
        <f>H120-G120</f>
        <v>32107</v>
      </c>
      <c r="L120" s="176">
        <f>H120-E120</f>
        <v>71971</v>
      </c>
      <c r="M120" s="177">
        <f>H120/H$8</f>
        <v>1.7595747905339239E-2</v>
      </c>
      <c r="N120" s="81"/>
    </row>
    <row r="121" spans="1:14" x14ac:dyDescent="0.25">
      <c r="A121" s="1" t="s">
        <v>101</v>
      </c>
      <c r="B121" s="159" t="s">
        <v>102</v>
      </c>
      <c r="C121" s="160">
        <v>116562</v>
      </c>
      <c r="D121" s="160">
        <v>206631</v>
      </c>
      <c r="E121" s="160">
        <v>271944</v>
      </c>
      <c r="F121" s="160">
        <v>303323</v>
      </c>
      <c r="G121" s="160">
        <v>307279</v>
      </c>
      <c r="H121" s="160">
        <v>343569</v>
      </c>
      <c r="I121" s="161">
        <f>IFERROR(H121/G121-1,"-")</f>
        <v>0.1181011393554392</v>
      </c>
      <c r="J121" s="178">
        <f t="shared" ref="J121:J132" si="48">IFERROR(H121/E121-1,"-")</f>
        <v>0.26338143147118531</v>
      </c>
      <c r="K121" s="160">
        <f t="shared" ref="K121:K131" si="49">H121-G121</f>
        <v>36290</v>
      </c>
      <c r="L121" s="160">
        <f t="shared" ref="L121:L132" si="50">H121-E121</f>
        <v>71625</v>
      </c>
      <c r="M121" s="161">
        <f>H121/H$8</f>
        <v>9.8223366079410804E-3</v>
      </c>
      <c r="N121" s="81"/>
    </row>
    <row r="122" spans="1:14" x14ac:dyDescent="0.25">
      <c r="A122" s="162" t="s">
        <v>108</v>
      </c>
      <c r="B122" s="163" t="s">
        <v>108</v>
      </c>
      <c r="C122" s="164">
        <v>45374</v>
      </c>
      <c r="D122" s="164">
        <v>96469</v>
      </c>
      <c r="E122" s="164">
        <v>128559</v>
      </c>
      <c r="F122" s="164">
        <v>122170</v>
      </c>
      <c r="G122" s="164">
        <v>132724</v>
      </c>
      <c r="H122" s="164">
        <v>158037</v>
      </c>
      <c r="I122" s="165">
        <f>IFERROR(H122/G122-1,"-")</f>
        <v>0.19071908622404399</v>
      </c>
      <c r="J122" s="179">
        <f t="shared" si="48"/>
        <v>0.2292954985648612</v>
      </c>
      <c r="K122" s="164">
        <f t="shared" si="49"/>
        <v>25313</v>
      </c>
      <c r="L122" s="164">
        <f t="shared" si="50"/>
        <v>29478</v>
      </c>
      <c r="M122" s="165">
        <f>H122/H$8</f>
        <v>4.518139327207008E-3</v>
      </c>
      <c r="N122" s="81"/>
    </row>
    <row r="123" spans="1:14" x14ac:dyDescent="0.25">
      <c r="A123" s="162" t="s">
        <v>105</v>
      </c>
      <c r="B123" s="163" t="s">
        <v>105</v>
      </c>
      <c r="C123" s="164">
        <v>71188</v>
      </c>
      <c r="D123" s="164">
        <v>110162</v>
      </c>
      <c r="E123" s="164">
        <v>143385</v>
      </c>
      <c r="F123" s="164">
        <v>181153</v>
      </c>
      <c r="G123" s="164">
        <v>174555</v>
      </c>
      <c r="H123" s="164">
        <v>185532</v>
      </c>
      <c r="I123" s="165">
        <f>IFERROR(H123/G123-1,"-")</f>
        <v>6.2885623442467953E-2</v>
      </c>
      <c r="J123" s="179">
        <f t="shared" si="48"/>
        <v>0.2939428810545035</v>
      </c>
      <c r="K123" s="164">
        <f t="shared" si="49"/>
        <v>10977</v>
      </c>
      <c r="L123" s="164">
        <f t="shared" si="50"/>
        <v>42147</v>
      </c>
      <c r="M123" s="165">
        <f>H123/H$8</f>
        <v>5.3041972807340724E-3</v>
      </c>
      <c r="N123" s="81"/>
    </row>
    <row r="124" spans="1:14" x14ac:dyDescent="0.25">
      <c r="A124" s="1"/>
      <c r="B124" s="159" t="s">
        <v>112</v>
      </c>
      <c r="C124" s="160">
        <v>100111</v>
      </c>
      <c r="D124" s="160">
        <v>152538</v>
      </c>
      <c r="E124" s="160">
        <v>271555</v>
      </c>
      <c r="F124" s="160">
        <v>274518</v>
      </c>
      <c r="G124" s="160">
        <v>276084</v>
      </c>
      <c r="H124" s="160">
        <v>271901</v>
      </c>
      <c r="I124" s="161">
        <f>IFERROR(H124/G124-1,"-")</f>
        <v>-1.5151185870966755E-2</v>
      </c>
      <c r="J124" s="178">
        <f t="shared" si="48"/>
        <v>1.2741433595404583E-3</v>
      </c>
      <c r="K124" s="160">
        <f t="shared" si="49"/>
        <v>-4183</v>
      </c>
      <c r="L124" s="160">
        <f t="shared" si="50"/>
        <v>346</v>
      </c>
      <c r="M124" s="161">
        <f>H124/H$8</f>
        <v>7.7734112973981582E-3</v>
      </c>
      <c r="N124" s="81"/>
    </row>
    <row r="125" spans="1:14" s="57" customFormat="1" x14ac:dyDescent="0.25">
      <c r="B125" s="163" t="s">
        <v>115</v>
      </c>
      <c r="C125" s="164">
        <v>11431</v>
      </c>
      <c r="D125" s="164">
        <v>11117</v>
      </c>
      <c r="E125" s="164">
        <v>33351</v>
      </c>
      <c r="F125" s="164">
        <v>40285</v>
      </c>
      <c r="G125" s="164">
        <v>36563</v>
      </c>
      <c r="H125" s="164">
        <v>30846</v>
      </c>
      <c r="I125" s="165">
        <f t="shared" ref="I125:I132" si="51">IFERROR(H125/G125-1,"-")</f>
        <v>-0.15636025490249705</v>
      </c>
      <c r="J125" s="179">
        <f t="shared" si="48"/>
        <v>-7.511019159845278E-2</v>
      </c>
      <c r="K125" s="164">
        <f t="shared" si="49"/>
        <v>-5717</v>
      </c>
      <c r="L125" s="164">
        <f t="shared" si="50"/>
        <v>-2505</v>
      </c>
      <c r="M125" s="165">
        <f t="shared" ref="M125:M132" si="52">H125/H$8</f>
        <v>8.8186010672834441E-4</v>
      </c>
      <c r="N125" s="166"/>
    </row>
    <row r="126" spans="1:14" s="57" customFormat="1" x14ac:dyDescent="0.25">
      <c r="B126" s="163" t="s">
        <v>118</v>
      </c>
      <c r="C126" s="164">
        <v>11548</v>
      </c>
      <c r="D126" s="164">
        <v>23428</v>
      </c>
      <c r="E126" s="164">
        <v>34791</v>
      </c>
      <c r="F126" s="164">
        <v>43431</v>
      </c>
      <c r="G126" s="164">
        <v>42207</v>
      </c>
      <c r="H126" s="164">
        <v>43215</v>
      </c>
      <c r="I126" s="165">
        <f t="shared" si="51"/>
        <v>2.3882294406141202E-2</v>
      </c>
      <c r="J126" s="179">
        <f t="shared" si="48"/>
        <v>0.24213158575493665</v>
      </c>
      <c r="K126" s="164">
        <f t="shared" si="49"/>
        <v>1008</v>
      </c>
      <c r="L126" s="164">
        <f t="shared" si="50"/>
        <v>8424</v>
      </c>
      <c r="M126" s="165">
        <f t="shared" si="52"/>
        <v>1.2354789766020036E-3</v>
      </c>
      <c r="N126" s="166"/>
    </row>
    <row r="127" spans="1:14" x14ac:dyDescent="0.25">
      <c r="A127" s="1"/>
      <c r="B127" s="163" t="s">
        <v>121</v>
      </c>
      <c r="C127" s="164">
        <v>7014</v>
      </c>
      <c r="D127" s="164">
        <v>18250</v>
      </c>
      <c r="E127" s="164">
        <v>23874</v>
      </c>
      <c r="F127" s="164">
        <v>26766</v>
      </c>
      <c r="G127" s="164">
        <v>26411</v>
      </c>
      <c r="H127" s="164">
        <v>27334</v>
      </c>
      <c r="I127" s="165">
        <f t="shared" si="51"/>
        <v>3.4947559728900845E-2</v>
      </c>
      <c r="J127" s="179">
        <f t="shared" si="48"/>
        <v>0.14492753623188404</v>
      </c>
      <c r="K127" s="164">
        <f t="shared" si="49"/>
        <v>923</v>
      </c>
      <c r="L127" s="164">
        <f t="shared" si="50"/>
        <v>3460</v>
      </c>
      <c r="M127" s="165">
        <f t="shared" si="52"/>
        <v>7.8145510462661501E-4</v>
      </c>
      <c r="N127" s="81"/>
    </row>
    <row r="128" spans="1:14" x14ac:dyDescent="0.25">
      <c r="A128" s="1"/>
      <c r="B128" s="163" t="s">
        <v>128</v>
      </c>
      <c r="C128" s="164">
        <v>1882</v>
      </c>
      <c r="D128" s="164">
        <v>3678</v>
      </c>
      <c r="E128" s="164">
        <v>6463</v>
      </c>
      <c r="F128" s="164">
        <v>7409</v>
      </c>
      <c r="G128" s="164">
        <v>7428</v>
      </c>
      <c r="H128" s="164">
        <v>8757</v>
      </c>
      <c r="I128" s="165">
        <f t="shared" si="51"/>
        <v>0.17891760904684983</v>
      </c>
      <c r="J128" s="179">
        <f t="shared" si="48"/>
        <v>0.35494352467894164</v>
      </c>
      <c r="K128" s="164">
        <f t="shared" si="49"/>
        <v>1329</v>
      </c>
      <c r="L128" s="164">
        <f t="shared" si="50"/>
        <v>2294</v>
      </c>
      <c r="M128" s="165">
        <f t="shared" si="52"/>
        <v>2.5035495541140222E-4</v>
      </c>
      <c r="N128" s="81"/>
    </row>
    <row r="129" spans="1:14" x14ac:dyDescent="0.25">
      <c r="A129" s="1"/>
      <c r="B129" s="163" t="s">
        <v>124</v>
      </c>
      <c r="C129" s="164">
        <v>1919</v>
      </c>
      <c r="D129" s="164">
        <v>3450</v>
      </c>
      <c r="E129" s="164">
        <v>4851</v>
      </c>
      <c r="F129" s="164">
        <v>6010</v>
      </c>
      <c r="G129" s="164">
        <v>5932</v>
      </c>
      <c r="H129" s="164">
        <v>6825</v>
      </c>
      <c r="I129" s="165">
        <f t="shared" si="51"/>
        <v>0.15053944706675648</v>
      </c>
      <c r="J129" s="179">
        <f t="shared" si="48"/>
        <v>0.40692640692640691</v>
      </c>
      <c r="K129" s="164">
        <f t="shared" si="49"/>
        <v>893</v>
      </c>
      <c r="L129" s="164">
        <f t="shared" si="50"/>
        <v>1974</v>
      </c>
      <c r="M129" s="165">
        <f t="shared" si="52"/>
        <v>1.9512076860600891E-4</v>
      </c>
      <c r="N129" s="81"/>
    </row>
    <row r="130" spans="1:14" x14ac:dyDescent="0.25">
      <c r="A130" s="1"/>
      <c r="B130" s="163" t="s">
        <v>133</v>
      </c>
      <c r="C130" s="164">
        <v>1701</v>
      </c>
      <c r="D130" s="164">
        <v>1442</v>
      </c>
      <c r="E130" s="164">
        <v>2747</v>
      </c>
      <c r="F130" s="164">
        <v>3507</v>
      </c>
      <c r="G130" s="164">
        <v>3870</v>
      </c>
      <c r="H130" s="164">
        <v>3006</v>
      </c>
      <c r="I130" s="165">
        <f t="shared" si="51"/>
        <v>-0.22325581395348837</v>
      </c>
      <c r="J130" s="179">
        <f t="shared" si="48"/>
        <v>9.4284674190025397E-2</v>
      </c>
      <c r="K130" s="164">
        <f t="shared" si="49"/>
        <v>-864</v>
      </c>
      <c r="L130" s="164">
        <f t="shared" si="50"/>
        <v>259</v>
      </c>
      <c r="M130" s="165">
        <f t="shared" si="52"/>
        <v>8.593890555745975E-5</v>
      </c>
      <c r="N130" s="81"/>
    </row>
    <row r="131" spans="1:14" x14ac:dyDescent="0.25">
      <c r="A131" s="162" t="s">
        <v>149</v>
      </c>
      <c r="B131" s="163" t="s">
        <v>136</v>
      </c>
      <c r="C131" s="164">
        <v>2155</v>
      </c>
      <c r="D131" s="164">
        <v>2010</v>
      </c>
      <c r="E131" s="164">
        <v>4022</v>
      </c>
      <c r="F131" s="164">
        <v>4912</v>
      </c>
      <c r="G131" s="164">
        <v>5426</v>
      </c>
      <c r="H131" s="164">
        <v>4655</v>
      </c>
      <c r="I131" s="165">
        <f t="shared" si="51"/>
        <v>-0.14209362329524511</v>
      </c>
      <c r="J131" s="179">
        <f t="shared" si="48"/>
        <v>0.15738438587767289</v>
      </c>
      <c r="K131" s="164">
        <f t="shared" si="49"/>
        <v>-771</v>
      </c>
      <c r="L131" s="164">
        <f t="shared" si="50"/>
        <v>633</v>
      </c>
      <c r="M131" s="165">
        <f t="shared" si="52"/>
        <v>1.3308237038255993E-4</v>
      </c>
      <c r="N131" s="81"/>
    </row>
    <row r="132" spans="1:14" x14ac:dyDescent="0.25">
      <c r="A132" s="167" t="s">
        <v>150</v>
      </c>
      <c r="B132" s="168" t="s">
        <v>150</v>
      </c>
      <c r="C132" s="169">
        <f t="shared" ref="C132:H132" si="53">C124-SUM(C125:C131)</f>
        <v>62461</v>
      </c>
      <c r="D132" s="169">
        <f t="shared" si="53"/>
        <v>89163</v>
      </c>
      <c r="E132" s="169">
        <f t="shared" si="53"/>
        <v>161456</v>
      </c>
      <c r="F132" s="169">
        <f t="shared" si="53"/>
        <v>142198</v>
      </c>
      <c r="G132" s="169">
        <f t="shared" si="53"/>
        <v>148247</v>
      </c>
      <c r="H132" s="169">
        <f t="shared" si="53"/>
        <v>147263</v>
      </c>
      <c r="I132" s="170">
        <f t="shared" si="51"/>
        <v>-6.6375710806964028E-3</v>
      </c>
      <c r="J132" s="180">
        <f t="shared" si="48"/>
        <v>-8.7906302645922141E-2</v>
      </c>
      <c r="K132" s="169">
        <f>H132-G132</f>
        <v>-984</v>
      </c>
      <c r="L132" s="169">
        <f t="shared" si="50"/>
        <v>-14193</v>
      </c>
      <c r="M132" s="170">
        <f t="shared" si="52"/>
        <v>4.2101201094837644E-3</v>
      </c>
      <c r="N132" s="81"/>
    </row>
    <row r="133" spans="1:14" s="146" customFormat="1" x14ac:dyDescent="0.25">
      <c r="B133" s="155" t="s">
        <v>54</v>
      </c>
      <c r="C133" s="153"/>
      <c r="D133" s="153"/>
      <c r="E133" s="153"/>
      <c r="F133" s="153"/>
      <c r="G133" s="153"/>
      <c r="H133" s="153"/>
      <c r="I133" s="153"/>
      <c r="J133" s="153"/>
      <c r="K133" s="153"/>
      <c r="L133" s="153"/>
      <c r="M133" s="153"/>
    </row>
    <row r="134" spans="1:14" x14ac:dyDescent="0.25">
      <c r="A134" s="1">
        <v>3</v>
      </c>
      <c r="B134" s="156" t="s">
        <v>73</v>
      </c>
      <c r="C134" s="176">
        <v>610766</v>
      </c>
      <c r="D134" s="176">
        <v>774989</v>
      </c>
      <c r="E134" s="176">
        <v>1753173</v>
      </c>
      <c r="F134" s="176">
        <v>1897228</v>
      </c>
      <c r="G134" s="176">
        <v>1991159</v>
      </c>
      <c r="H134" s="176">
        <v>2013195</v>
      </c>
      <c r="I134" s="177">
        <f>IFERROR(H134/G134-1,"-")</f>
        <v>1.1066921325720402E-2</v>
      </c>
      <c r="J134" s="177">
        <f>IFERROR(H134/E134-1,"-")</f>
        <v>0.14831508356562639</v>
      </c>
      <c r="K134" s="176">
        <f>H134-G134</f>
        <v>22036</v>
      </c>
      <c r="L134" s="176">
        <f>H134-E134</f>
        <v>260022</v>
      </c>
      <c r="M134" s="177">
        <f>H134/H$8</f>
        <v>5.7555480696523678E-2</v>
      </c>
      <c r="N134" s="81"/>
    </row>
    <row r="135" spans="1:14" x14ac:dyDescent="0.25">
      <c r="A135" s="1" t="s">
        <v>101</v>
      </c>
      <c r="B135" s="159" t="s">
        <v>102</v>
      </c>
      <c r="C135" s="160">
        <v>77176</v>
      </c>
      <c r="D135" s="160">
        <v>141993</v>
      </c>
      <c r="E135" s="160">
        <v>105275</v>
      </c>
      <c r="F135" s="160">
        <v>121724</v>
      </c>
      <c r="G135" s="160">
        <v>103793</v>
      </c>
      <c r="H135" s="160">
        <v>122657</v>
      </c>
      <c r="I135" s="161">
        <f>IFERROR(H135/G135-1,"-")</f>
        <v>0.18174636054454529</v>
      </c>
      <c r="J135" s="178">
        <f t="shared" ref="J135:J146" si="54">IFERROR(H135/E135-1,"-")</f>
        <v>0.16511042507717888</v>
      </c>
      <c r="K135" s="160">
        <f t="shared" ref="K135:K145" si="55">H135-G135</f>
        <v>18864</v>
      </c>
      <c r="L135" s="160">
        <f t="shared" ref="L135:L146" si="56">H135-E135</f>
        <v>17382</v>
      </c>
      <c r="M135" s="161">
        <f>H135/H$8</f>
        <v>3.5066561340523421E-3</v>
      </c>
      <c r="N135" s="81"/>
    </row>
    <row r="136" spans="1:14" x14ac:dyDescent="0.25">
      <c r="A136" s="162" t="s">
        <v>108</v>
      </c>
      <c r="B136" s="163" t="s">
        <v>108</v>
      </c>
      <c r="C136" s="164">
        <v>51058</v>
      </c>
      <c r="D136" s="164">
        <v>86437</v>
      </c>
      <c r="E136" s="164">
        <v>57602</v>
      </c>
      <c r="F136" s="164">
        <v>67596</v>
      </c>
      <c r="G136" s="164">
        <v>47888</v>
      </c>
      <c r="H136" s="164">
        <v>53311</v>
      </c>
      <c r="I136" s="165">
        <f>IFERROR(H136/G136-1,"-")</f>
        <v>0.11324340126962906</v>
      </c>
      <c r="J136" s="179">
        <f t="shared" si="54"/>
        <v>-7.4493941182597778E-2</v>
      </c>
      <c r="K136" s="164">
        <f t="shared" si="55"/>
        <v>5423</v>
      </c>
      <c r="L136" s="164">
        <f t="shared" si="56"/>
        <v>-4291</v>
      </c>
      <c r="M136" s="165">
        <f>H136/H$8</f>
        <v>1.5241147685208704E-3</v>
      </c>
      <c r="N136" s="81"/>
    </row>
    <row r="137" spans="1:14" x14ac:dyDescent="0.25">
      <c r="A137" s="162" t="s">
        <v>105</v>
      </c>
      <c r="B137" s="163" t="s">
        <v>105</v>
      </c>
      <c r="C137" s="164">
        <v>26118</v>
      </c>
      <c r="D137" s="164">
        <v>55556</v>
      </c>
      <c r="E137" s="164">
        <v>47673</v>
      </c>
      <c r="F137" s="164">
        <v>54128</v>
      </c>
      <c r="G137" s="164">
        <v>55905</v>
      </c>
      <c r="H137" s="164">
        <v>69346</v>
      </c>
      <c r="I137" s="165">
        <f>IFERROR(H137/G137-1,"-")</f>
        <v>0.24042572220731606</v>
      </c>
      <c r="J137" s="179">
        <f t="shared" si="54"/>
        <v>0.4546179178990204</v>
      </c>
      <c r="K137" s="164">
        <f t="shared" si="55"/>
        <v>13441</v>
      </c>
      <c r="L137" s="164">
        <f t="shared" si="56"/>
        <v>21673</v>
      </c>
      <c r="M137" s="165">
        <f>H137/H$8</f>
        <v>1.9825413655314718E-3</v>
      </c>
      <c r="N137" s="81"/>
    </row>
    <row r="138" spans="1:14" x14ac:dyDescent="0.25">
      <c r="A138" s="1"/>
      <c r="B138" s="159" t="s">
        <v>112</v>
      </c>
      <c r="C138" s="160">
        <v>533590</v>
      </c>
      <c r="D138" s="160">
        <v>632996</v>
      </c>
      <c r="E138" s="160">
        <v>1647898</v>
      </c>
      <c r="F138" s="160">
        <v>1775504</v>
      </c>
      <c r="G138" s="160">
        <v>1887366</v>
      </c>
      <c r="H138" s="160">
        <v>1890538</v>
      </c>
      <c r="I138" s="161">
        <f>IFERROR(H138/G138-1,"-")</f>
        <v>1.6806491162817405E-3</v>
      </c>
      <c r="J138" s="178">
        <f t="shared" si="54"/>
        <v>0.14724212299547657</v>
      </c>
      <c r="K138" s="160">
        <f t="shared" si="55"/>
        <v>3172</v>
      </c>
      <c r="L138" s="160">
        <f t="shared" si="56"/>
        <v>242640</v>
      </c>
      <c r="M138" s="161">
        <f>H138/H$8</f>
        <v>5.4048824562471336E-2</v>
      </c>
      <c r="N138" s="81"/>
    </row>
    <row r="139" spans="1:14" s="57" customFormat="1" x14ac:dyDescent="0.25">
      <c r="B139" s="163" t="s">
        <v>115</v>
      </c>
      <c r="C139" s="164">
        <v>226701</v>
      </c>
      <c r="D139" s="164">
        <v>182984</v>
      </c>
      <c r="E139" s="164">
        <v>740061</v>
      </c>
      <c r="F139" s="164">
        <v>747598</v>
      </c>
      <c r="G139" s="164">
        <v>859363</v>
      </c>
      <c r="H139" s="164">
        <v>888724</v>
      </c>
      <c r="I139" s="165">
        <f t="shared" ref="I139:I146" si="57">IFERROR(H139/G139-1,"-")</f>
        <v>3.4166004354388102E-2</v>
      </c>
      <c r="J139" s="179">
        <f t="shared" si="54"/>
        <v>0.20087938696945251</v>
      </c>
      <c r="K139" s="164">
        <f t="shared" si="55"/>
        <v>29361</v>
      </c>
      <c r="L139" s="164">
        <f t="shared" si="56"/>
        <v>148663</v>
      </c>
      <c r="M139" s="165">
        <f t="shared" ref="M139:M146" si="58">H139/H$8</f>
        <v>2.5407840286975337E-2</v>
      </c>
      <c r="N139" s="166"/>
    </row>
    <row r="140" spans="1:14" s="57" customFormat="1" x14ac:dyDescent="0.25">
      <c r="B140" s="163" t="s">
        <v>118</v>
      </c>
      <c r="C140" s="164">
        <v>45672</v>
      </c>
      <c r="D140" s="164">
        <v>69325</v>
      </c>
      <c r="E140" s="164">
        <v>132461</v>
      </c>
      <c r="F140" s="164">
        <v>181835</v>
      </c>
      <c r="G140" s="164">
        <v>190230</v>
      </c>
      <c r="H140" s="164">
        <v>189850</v>
      </c>
      <c r="I140" s="165">
        <f t="shared" si="57"/>
        <v>-1.9975818745728846E-3</v>
      </c>
      <c r="J140" s="179">
        <f t="shared" si="54"/>
        <v>0.43325205154724777</v>
      </c>
      <c r="K140" s="164">
        <f t="shared" si="55"/>
        <v>-380</v>
      </c>
      <c r="L140" s="164">
        <f t="shared" si="56"/>
        <v>57389</v>
      </c>
      <c r="M140" s="165">
        <f t="shared" si="58"/>
        <v>5.4276451164616546E-3</v>
      </c>
      <c r="N140" s="166"/>
    </row>
    <row r="141" spans="1:14" x14ac:dyDescent="0.25">
      <c r="A141" s="1"/>
      <c r="B141" s="163" t="s">
        <v>121</v>
      </c>
      <c r="C141" s="164">
        <v>42455</v>
      </c>
      <c r="D141" s="164">
        <v>94016</v>
      </c>
      <c r="E141" s="164">
        <v>171222</v>
      </c>
      <c r="F141" s="164">
        <v>162480</v>
      </c>
      <c r="G141" s="164">
        <v>166493</v>
      </c>
      <c r="H141" s="164">
        <v>159618</v>
      </c>
      <c r="I141" s="165">
        <f t="shared" si="57"/>
        <v>-4.1293027334482479E-2</v>
      </c>
      <c r="J141" s="179">
        <f t="shared" si="54"/>
        <v>-6.7771664856151714E-2</v>
      </c>
      <c r="K141" s="164">
        <f t="shared" si="55"/>
        <v>-6875</v>
      </c>
      <c r="L141" s="164">
        <f t="shared" si="56"/>
        <v>-11604</v>
      </c>
      <c r="M141" s="165">
        <f t="shared" si="58"/>
        <v>4.5633387316269492E-3</v>
      </c>
      <c r="N141" s="81"/>
    </row>
    <row r="142" spans="1:14" x14ac:dyDescent="0.25">
      <c r="A142" s="1"/>
      <c r="B142" s="163" t="s">
        <v>128</v>
      </c>
      <c r="C142" s="164">
        <v>8958</v>
      </c>
      <c r="D142" s="164">
        <v>22357</v>
      </c>
      <c r="E142" s="164">
        <v>60881</v>
      </c>
      <c r="F142" s="164">
        <v>79292</v>
      </c>
      <c r="G142" s="164">
        <v>59046</v>
      </c>
      <c r="H142" s="164">
        <v>57091</v>
      </c>
      <c r="I142" s="165">
        <f t="shared" si="57"/>
        <v>-3.3109778816515889E-2</v>
      </c>
      <c r="J142" s="179">
        <f t="shared" si="54"/>
        <v>-6.2252591120382395E-2</v>
      </c>
      <c r="K142" s="164">
        <f t="shared" si="55"/>
        <v>-1955</v>
      </c>
      <c r="L142" s="164">
        <f t="shared" si="56"/>
        <v>-3790</v>
      </c>
      <c r="M142" s="165">
        <f t="shared" si="58"/>
        <v>1.6321816557488139E-3</v>
      </c>
      <c r="N142" s="81"/>
    </row>
    <row r="143" spans="1:14" x14ac:dyDescent="0.25">
      <c r="A143" s="1"/>
      <c r="B143" s="163" t="s">
        <v>124</v>
      </c>
      <c r="C143" s="164">
        <v>12571</v>
      </c>
      <c r="D143" s="164">
        <v>20808</v>
      </c>
      <c r="E143" s="164">
        <v>32138</v>
      </c>
      <c r="F143" s="164">
        <v>41049</v>
      </c>
      <c r="G143" s="164">
        <v>42057</v>
      </c>
      <c r="H143" s="164">
        <v>33352</v>
      </c>
      <c r="I143" s="165">
        <f t="shared" si="57"/>
        <v>-0.2069810019735121</v>
      </c>
      <c r="J143" s="179">
        <f t="shared" si="54"/>
        <v>3.7774597050221015E-2</v>
      </c>
      <c r="K143" s="164">
        <f t="shared" si="55"/>
        <v>-8705</v>
      </c>
      <c r="L143" s="164">
        <f t="shared" si="56"/>
        <v>1214</v>
      </c>
      <c r="M143" s="165">
        <f t="shared" si="58"/>
        <v>9.5350445048316616E-4</v>
      </c>
      <c r="N143" s="81"/>
    </row>
    <row r="144" spans="1:14" x14ac:dyDescent="0.25">
      <c r="A144" s="1"/>
      <c r="B144" s="163" t="s">
        <v>133</v>
      </c>
      <c r="C144" s="164">
        <v>15372</v>
      </c>
      <c r="D144" s="164">
        <v>9958</v>
      </c>
      <c r="E144" s="164">
        <v>24691</v>
      </c>
      <c r="F144" s="164">
        <v>28175</v>
      </c>
      <c r="G144" s="164">
        <v>26046</v>
      </c>
      <c r="H144" s="164">
        <v>26684</v>
      </c>
      <c r="I144" s="165">
        <f t="shared" si="57"/>
        <v>2.4495124011364444E-2</v>
      </c>
      <c r="J144" s="179">
        <f t="shared" si="54"/>
        <v>8.0717670406220909E-2</v>
      </c>
      <c r="K144" s="164">
        <f t="shared" si="55"/>
        <v>638</v>
      </c>
      <c r="L144" s="164">
        <f t="shared" si="56"/>
        <v>1993</v>
      </c>
      <c r="M144" s="165">
        <f t="shared" si="58"/>
        <v>7.6287217428318559E-4</v>
      </c>
      <c r="N144" s="81"/>
    </row>
    <row r="145" spans="1:14" x14ac:dyDescent="0.25">
      <c r="A145" s="162" t="s">
        <v>149</v>
      </c>
      <c r="B145" s="163" t="s">
        <v>136</v>
      </c>
      <c r="C145" s="164">
        <v>29519</v>
      </c>
      <c r="D145" s="164">
        <v>6358</v>
      </c>
      <c r="E145" s="164">
        <v>14264</v>
      </c>
      <c r="F145" s="164">
        <v>21389</v>
      </c>
      <c r="G145" s="164">
        <v>19939</v>
      </c>
      <c r="H145" s="164">
        <v>16759</v>
      </c>
      <c r="I145" s="165">
        <f t="shared" si="57"/>
        <v>-0.15948643362254877</v>
      </c>
      <c r="J145" s="179">
        <f t="shared" si="54"/>
        <v>0.17491587212563098</v>
      </c>
      <c r="K145" s="164">
        <f t="shared" si="55"/>
        <v>-3180</v>
      </c>
      <c r="L145" s="164">
        <f t="shared" si="56"/>
        <v>2495</v>
      </c>
      <c r="M145" s="165">
        <f t="shared" si="58"/>
        <v>4.7912512250082101E-4</v>
      </c>
      <c r="N145" s="81"/>
    </row>
    <row r="146" spans="1:14" x14ac:dyDescent="0.25">
      <c r="A146" s="167" t="s">
        <v>150</v>
      </c>
      <c r="B146" s="168" t="s">
        <v>150</v>
      </c>
      <c r="C146" s="169">
        <f t="shared" ref="C146:H146" si="59">C138-SUM(C139:C145)</f>
        <v>152342</v>
      </c>
      <c r="D146" s="169">
        <f t="shared" si="59"/>
        <v>227190</v>
      </c>
      <c r="E146" s="169">
        <f t="shared" si="59"/>
        <v>472180</v>
      </c>
      <c r="F146" s="169">
        <f t="shared" si="59"/>
        <v>513686</v>
      </c>
      <c r="G146" s="169">
        <f t="shared" si="59"/>
        <v>524192</v>
      </c>
      <c r="H146" s="169">
        <f t="shared" si="59"/>
        <v>518460</v>
      </c>
      <c r="I146" s="170">
        <f t="shared" si="57"/>
        <v>-1.0934924607777341E-2</v>
      </c>
      <c r="J146" s="180">
        <f t="shared" si="54"/>
        <v>9.8013469439620415E-2</v>
      </c>
      <c r="K146" s="169">
        <f>H146-G146</f>
        <v>-5732</v>
      </c>
      <c r="L146" s="169">
        <f t="shared" si="56"/>
        <v>46280</v>
      </c>
      <c r="M146" s="170">
        <f t="shared" si="58"/>
        <v>1.4822317024391411E-2</v>
      </c>
      <c r="N146" s="81"/>
    </row>
    <row r="147" spans="1:14" s="146" customFormat="1" x14ac:dyDescent="0.25">
      <c r="B147" s="155" t="s">
        <v>55</v>
      </c>
      <c r="C147" s="153"/>
      <c r="D147" s="153"/>
      <c r="E147" s="153"/>
      <c r="F147" s="153"/>
      <c r="G147" s="153"/>
      <c r="H147" s="153"/>
      <c r="I147" s="153"/>
      <c r="J147" s="153"/>
      <c r="K147" s="153"/>
      <c r="L147" s="153"/>
      <c r="M147" s="153"/>
    </row>
    <row r="148" spans="1:14" x14ac:dyDescent="0.25">
      <c r="A148" s="1">
        <v>3</v>
      </c>
      <c r="B148" s="156" t="s">
        <v>73</v>
      </c>
      <c r="C148" s="176">
        <v>20711205</v>
      </c>
      <c r="D148" s="176">
        <v>28127038</v>
      </c>
      <c r="E148" s="176">
        <v>63448755</v>
      </c>
      <c r="F148" s="176">
        <v>69765232</v>
      </c>
      <c r="G148" s="176">
        <v>72907219</v>
      </c>
      <c r="H148" s="176">
        <v>70667483</v>
      </c>
      <c r="I148" s="177">
        <f>IFERROR(H148/G148-1,"-")</f>
        <v>-3.0720359804150554E-2</v>
      </c>
      <c r="J148" s="177">
        <f>IFERROR(H148/E148-1,"-")</f>
        <v>0.11377257126637086</v>
      </c>
      <c r="K148" s="176">
        <f>H148-G148</f>
        <v>-2239736</v>
      </c>
      <c r="L148" s="176">
        <f>H148-E148</f>
        <v>7218728</v>
      </c>
      <c r="M148" s="177">
        <f>H148/H$8</f>
        <v>2.0203214063607429</v>
      </c>
      <c r="N148" s="81"/>
    </row>
    <row r="149" spans="1:14" x14ac:dyDescent="0.25">
      <c r="A149" s="1" t="s">
        <v>101</v>
      </c>
      <c r="B149" s="159" t="s">
        <v>102</v>
      </c>
      <c r="C149" s="160">
        <v>3422341</v>
      </c>
      <c r="D149" s="160">
        <v>5821294</v>
      </c>
      <c r="E149" s="160">
        <v>8564381</v>
      </c>
      <c r="F149" s="160">
        <v>8824899</v>
      </c>
      <c r="G149" s="160">
        <v>8719149</v>
      </c>
      <c r="H149" s="160">
        <v>8545405</v>
      </c>
      <c r="I149" s="161">
        <f>IFERROR(H149/G149-1,"-")</f>
        <v>-1.9926715325085054E-2</v>
      </c>
      <c r="J149" s="178">
        <f t="shared" ref="J149:J160" si="60">IFERROR(H149/E149-1,"-")</f>
        <v>-2.2156884426323131E-3</v>
      </c>
      <c r="K149" s="160">
        <f t="shared" ref="K149:K159" si="61">H149-G149</f>
        <v>-173744</v>
      </c>
      <c r="L149" s="160">
        <f t="shared" ref="L149:L160" si="62">H149-E149</f>
        <v>-18976</v>
      </c>
      <c r="M149" s="161">
        <f>H149/H$8</f>
        <v>0.24430563980214381</v>
      </c>
      <c r="N149" s="81"/>
    </row>
    <row r="150" spans="1:14" x14ac:dyDescent="0.25">
      <c r="A150" s="162" t="s">
        <v>108</v>
      </c>
      <c r="B150" s="163" t="s">
        <v>108</v>
      </c>
      <c r="C150" s="164">
        <v>1174894</v>
      </c>
      <c r="D150" s="164">
        <v>2320179</v>
      </c>
      <c r="E150" s="164">
        <v>2587591</v>
      </c>
      <c r="F150" s="164">
        <v>2859516</v>
      </c>
      <c r="G150" s="164">
        <v>2828657</v>
      </c>
      <c r="H150" s="164">
        <v>2518579</v>
      </c>
      <c r="I150" s="165">
        <f>IFERROR(H150/G150-1,"-")</f>
        <v>-0.1096202190650899</v>
      </c>
      <c r="J150" s="179">
        <f t="shared" si="60"/>
        <v>-2.6670366375520671E-2</v>
      </c>
      <c r="K150" s="164">
        <f t="shared" si="61"/>
        <v>-310078</v>
      </c>
      <c r="L150" s="164">
        <f t="shared" si="62"/>
        <v>-69012</v>
      </c>
      <c r="M150" s="165">
        <f>H150/H$8</f>
        <v>7.2003966340652495E-2</v>
      </c>
      <c r="N150" s="81"/>
    </row>
    <row r="151" spans="1:14" x14ac:dyDescent="0.25">
      <c r="A151" s="162" t="s">
        <v>105</v>
      </c>
      <c r="B151" s="163" t="s">
        <v>105</v>
      </c>
      <c r="C151" s="164">
        <v>2247447</v>
      </c>
      <c r="D151" s="164">
        <v>3501115</v>
      </c>
      <c r="E151" s="164">
        <v>5976790</v>
      </c>
      <c r="F151" s="164">
        <v>5965383</v>
      </c>
      <c r="G151" s="164">
        <v>5890492</v>
      </c>
      <c r="H151" s="164">
        <v>6026826</v>
      </c>
      <c r="I151" s="165">
        <f>IFERROR(H151/G151-1,"-")</f>
        <v>2.3144755989822352E-2</v>
      </c>
      <c r="J151" s="179">
        <f t="shared" si="60"/>
        <v>8.3717179288547161E-3</v>
      </c>
      <c r="K151" s="164">
        <f t="shared" si="61"/>
        <v>136334</v>
      </c>
      <c r="L151" s="164">
        <f t="shared" si="62"/>
        <v>50036</v>
      </c>
      <c r="M151" s="165">
        <f>H151/H$8</f>
        <v>0.17230167346149133</v>
      </c>
      <c r="N151" s="81"/>
    </row>
    <row r="152" spans="1:14" x14ac:dyDescent="0.25">
      <c r="A152" s="1"/>
      <c r="B152" s="159" t="s">
        <v>112</v>
      </c>
      <c r="C152" s="160">
        <v>17288864</v>
      </c>
      <c r="D152" s="160">
        <v>22305744</v>
      </c>
      <c r="E152" s="160">
        <v>54884374</v>
      </c>
      <c r="F152" s="160">
        <v>60940333</v>
      </c>
      <c r="G152" s="160">
        <v>64188070</v>
      </c>
      <c r="H152" s="160">
        <v>62122078</v>
      </c>
      <c r="I152" s="161">
        <f>IFERROR(H152/G152-1,"-")</f>
        <v>-3.2186541829346216E-2</v>
      </c>
      <c r="J152" s="178">
        <f t="shared" si="60"/>
        <v>0.13187185117570976</v>
      </c>
      <c r="K152" s="160">
        <f t="shared" si="61"/>
        <v>-2065992</v>
      </c>
      <c r="L152" s="160">
        <f t="shared" si="62"/>
        <v>7237704</v>
      </c>
      <c r="M152" s="161">
        <f>H152/H$8</f>
        <v>1.7760157665585987</v>
      </c>
      <c r="N152" s="81"/>
    </row>
    <row r="153" spans="1:14" s="57" customFormat="1" x14ac:dyDescent="0.25">
      <c r="B153" s="163" t="s">
        <v>115</v>
      </c>
      <c r="C153" s="164">
        <v>6813394</v>
      </c>
      <c r="D153" s="164">
        <v>6741008</v>
      </c>
      <c r="E153" s="164">
        <v>25451634</v>
      </c>
      <c r="F153" s="164">
        <v>27938117</v>
      </c>
      <c r="G153" s="164">
        <v>29499781</v>
      </c>
      <c r="H153" s="164">
        <v>28631782</v>
      </c>
      <c r="I153" s="165">
        <f t="shared" ref="I153:I160" si="63">IFERROR(H153/G153-1,"-")</f>
        <v>-2.9423913350407616E-2</v>
      </c>
      <c r="J153" s="179">
        <f t="shared" si="60"/>
        <v>0.12494867716548175</v>
      </c>
      <c r="K153" s="164">
        <f t="shared" si="61"/>
        <v>-867999</v>
      </c>
      <c r="L153" s="164">
        <f t="shared" si="62"/>
        <v>3180148</v>
      </c>
      <c r="M153" s="165">
        <f t="shared" ref="M153:M160" si="64">H153/H$8</f>
        <v>0.81855755463731739</v>
      </c>
      <c r="N153" s="166"/>
    </row>
    <row r="154" spans="1:14" s="57" customFormat="1" x14ac:dyDescent="0.25">
      <c r="B154" s="163" t="s">
        <v>118</v>
      </c>
      <c r="C154" s="164">
        <v>2607104</v>
      </c>
      <c r="D154" s="164">
        <v>3683805</v>
      </c>
      <c r="E154" s="164">
        <v>6436991</v>
      </c>
      <c r="F154" s="164">
        <v>7317666</v>
      </c>
      <c r="G154" s="164">
        <v>7622147</v>
      </c>
      <c r="H154" s="164">
        <v>7239954</v>
      </c>
      <c r="I154" s="165">
        <f t="shared" si="63"/>
        <v>-5.0142433621393034E-2</v>
      </c>
      <c r="J154" s="179">
        <f t="shared" si="60"/>
        <v>0.12474197959885291</v>
      </c>
      <c r="K154" s="164">
        <f t="shared" si="61"/>
        <v>-382193</v>
      </c>
      <c r="L154" s="164">
        <f t="shared" si="62"/>
        <v>802963</v>
      </c>
      <c r="M154" s="165">
        <f t="shared" si="64"/>
        <v>0.20698393980251262</v>
      </c>
      <c r="N154" s="166"/>
    </row>
    <row r="155" spans="1:14" x14ac:dyDescent="0.25">
      <c r="A155" s="1"/>
      <c r="B155" s="163" t="s">
        <v>121</v>
      </c>
      <c r="C155" s="164">
        <v>804299</v>
      </c>
      <c r="D155" s="164">
        <v>1658166</v>
      </c>
      <c r="E155" s="164">
        <v>2618114</v>
      </c>
      <c r="F155" s="164">
        <v>3092405</v>
      </c>
      <c r="G155" s="164">
        <v>3253645</v>
      </c>
      <c r="H155" s="164">
        <v>3229183</v>
      </c>
      <c r="I155" s="165">
        <f t="shared" si="63"/>
        <v>-7.5183371265150623E-3</v>
      </c>
      <c r="J155" s="179">
        <f t="shared" si="60"/>
        <v>0.23340045544235277</v>
      </c>
      <c r="K155" s="164">
        <f t="shared" si="61"/>
        <v>-24462</v>
      </c>
      <c r="L155" s="164">
        <f t="shared" si="62"/>
        <v>611069</v>
      </c>
      <c r="M155" s="165">
        <f t="shared" si="64"/>
        <v>9.2319511931056072E-2</v>
      </c>
      <c r="N155" s="81"/>
    </row>
    <row r="156" spans="1:14" x14ac:dyDescent="0.25">
      <c r="A156" s="1"/>
      <c r="B156" s="163" t="s">
        <v>128</v>
      </c>
      <c r="C156" s="164">
        <v>607962</v>
      </c>
      <c r="D156" s="164">
        <v>1388524</v>
      </c>
      <c r="E156" s="164">
        <v>2584972</v>
      </c>
      <c r="F156" s="164">
        <v>2649369</v>
      </c>
      <c r="G156" s="164">
        <v>2767450</v>
      </c>
      <c r="H156" s="164">
        <v>2596681</v>
      </c>
      <c r="I156" s="165">
        <f t="shared" si="63"/>
        <v>-6.1706263889139801E-2</v>
      </c>
      <c r="J156" s="179">
        <f t="shared" si="60"/>
        <v>4.5296428742749306E-3</v>
      </c>
      <c r="K156" s="164">
        <f t="shared" si="61"/>
        <v>-170769</v>
      </c>
      <c r="L156" s="164">
        <f t="shared" si="62"/>
        <v>11709</v>
      </c>
      <c r="M156" s="165">
        <f t="shared" si="64"/>
        <v>7.4236834072471766E-2</v>
      </c>
      <c r="N156" s="81"/>
    </row>
    <row r="157" spans="1:14" x14ac:dyDescent="0.25">
      <c r="A157" s="1"/>
      <c r="B157" s="163" t="s">
        <v>124</v>
      </c>
      <c r="C157" s="164">
        <v>898492</v>
      </c>
      <c r="D157" s="164">
        <v>1466706</v>
      </c>
      <c r="E157" s="164">
        <v>2276593</v>
      </c>
      <c r="F157" s="164">
        <v>2362784</v>
      </c>
      <c r="G157" s="164">
        <v>2430554</v>
      </c>
      <c r="H157" s="164">
        <v>2268686</v>
      </c>
      <c r="I157" s="165">
        <f t="shared" si="63"/>
        <v>-6.659716262218407E-2</v>
      </c>
      <c r="J157" s="179">
        <f t="shared" si="60"/>
        <v>-3.4731724115817375E-3</v>
      </c>
      <c r="K157" s="164">
        <f t="shared" si="61"/>
        <v>-161868</v>
      </c>
      <c r="L157" s="164">
        <f t="shared" si="62"/>
        <v>-7907</v>
      </c>
      <c r="M157" s="165">
        <f t="shared" si="64"/>
        <v>6.4859744475559256E-2</v>
      </c>
      <c r="N157" s="81"/>
    </row>
    <row r="158" spans="1:14" x14ac:dyDescent="0.25">
      <c r="A158" s="1"/>
      <c r="B158" s="163" t="s">
        <v>133</v>
      </c>
      <c r="C158" s="164">
        <v>482408</v>
      </c>
      <c r="D158" s="164">
        <v>384691</v>
      </c>
      <c r="E158" s="164">
        <v>984785</v>
      </c>
      <c r="F158" s="164">
        <v>1051351</v>
      </c>
      <c r="G158" s="164">
        <v>1025843</v>
      </c>
      <c r="H158" s="164">
        <v>994861</v>
      </c>
      <c r="I158" s="165">
        <f t="shared" si="63"/>
        <v>-3.0201502569106586E-2</v>
      </c>
      <c r="J158" s="179">
        <f t="shared" si="60"/>
        <v>1.0231674934122692E-2</v>
      </c>
      <c r="K158" s="164">
        <f t="shared" si="61"/>
        <v>-30982</v>
      </c>
      <c r="L158" s="164">
        <f t="shared" si="62"/>
        <v>10076</v>
      </c>
      <c r="M158" s="165">
        <f t="shared" si="64"/>
        <v>2.8442204099068519E-2</v>
      </c>
      <c r="N158" s="81"/>
    </row>
    <row r="159" spans="1:14" x14ac:dyDescent="0.25">
      <c r="A159" s="162" t="s">
        <v>149</v>
      </c>
      <c r="B159" s="163" t="s">
        <v>136</v>
      </c>
      <c r="C159" s="164">
        <v>713110</v>
      </c>
      <c r="D159" s="164">
        <v>345938</v>
      </c>
      <c r="E159" s="164">
        <v>868845</v>
      </c>
      <c r="F159" s="164">
        <v>1092599</v>
      </c>
      <c r="G159" s="164">
        <v>1064019</v>
      </c>
      <c r="H159" s="164">
        <v>943148</v>
      </c>
      <c r="I159" s="165">
        <f t="shared" si="63"/>
        <v>-0.11359853536450004</v>
      </c>
      <c r="J159" s="179">
        <f t="shared" si="60"/>
        <v>8.5519281344773823E-2</v>
      </c>
      <c r="K159" s="164">
        <f t="shared" si="61"/>
        <v>-120871</v>
      </c>
      <c r="L159" s="164">
        <f t="shared" si="62"/>
        <v>74303</v>
      </c>
      <c r="M159" s="165">
        <f t="shared" si="64"/>
        <v>2.6963774750068878E-2</v>
      </c>
      <c r="N159" s="81"/>
    </row>
    <row r="160" spans="1:14" x14ac:dyDescent="0.25">
      <c r="A160" s="167" t="s">
        <v>150</v>
      </c>
      <c r="B160" s="168" t="s">
        <v>150</v>
      </c>
      <c r="C160" s="169">
        <f t="shared" ref="C160:H160" si="65">C152-SUM(C153:C159)</f>
        <v>4362095</v>
      </c>
      <c r="D160" s="169">
        <f t="shared" si="65"/>
        <v>6636906</v>
      </c>
      <c r="E160" s="169">
        <f t="shared" si="65"/>
        <v>13662440</v>
      </c>
      <c r="F160" s="169">
        <f t="shared" si="65"/>
        <v>15436042</v>
      </c>
      <c r="G160" s="169">
        <f t="shared" si="65"/>
        <v>16524631</v>
      </c>
      <c r="H160" s="169">
        <f t="shared" si="65"/>
        <v>16217783</v>
      </c>
      <c r="I160" s="170">
        <f t="shared" si="63"/>
        <v>-1.8569128714583716E-2</v>
      </c>
      <c r="J160" s="180">
        <f t="shared" si="60"/>
        <v>0.18703416080875734</v>
      </c>
      <c r="K160" s="169">
        <f>H160-G160</f>
        <v>-306848</v>
      </c>
      <c r="L160" s="169">
        <f t="shared" si="62"/>
        <v>2555343</v>
      </c>
      <c r="M160" s="170">
        <f t="shared" si="64"/>
        <v>0.46365220279054431</v>
      </c>
      <c r="N160" s="81"/>
    </row>
    <row r="161" spans="2:16" ht="6" customHeight="1" x14ac:dyDescent="0.25">
      <c r="B161" s="171"/>
      <c r="C161" s="171"/>
      <c r="D161" s="171"/>
      <c r="E161" s="171"/>
      <c r="F161" s="171"/>
      <c r="G161" s="171"/>
      <c r="H161" s="171"/>
      <c r="I161" s="171"/>
      <c r="J161" s="171"/>
      <c r="K161" s="171"/>
      <c r="L161" s="171"/>
      <c r="M161" s="171"/>
      <c r="N161" s="171"/>
      <c r="O161" s="171"/>
      <c r="P161" s="171"/>
    </row>
    <row r="162" spans="2:16" x14ac:dyDescent="0.25">
      <c r="B162" s="107" t="s">
        <v>57</v>
      </c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7"/>
      <c r="P162" s="107"/>
    </row>
  </sheetData>
  <mergeCells count="1">
    <mergeCell ref="B4:M4"/>
  </mergeCells>
  <pageMargins left="0.25" right="0.25" top="0.75" bottom="0.75" header="0.3" footer="0.3"/>
  <pageSetup paperSize="9" scale="20" orientation="landscape" r:id="rId1"/>
  <headerFooter>
    <oddFooter>&amp;R_x000D_&amp;1#&amp;"Aptos"&amp;8&amp;K000000 Documento interno</oddFooter>
  </headerFooter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5ECC1-6D1D-4812-8A35-927CE0E72F95}">
  <sheetPr>
    <tabColor theme="3" tint="0.39997558519241921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36D38-7B16-40BA-B1E7-681032BB86AD}">
  <sheetPr>
    <tabColor theme="4" tint="0.79998168889431442"/>
  </sheetPr>
  <dimension ref="A1:M290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12" max="12" width="13.5703125" bestFit="1" customWidth="1"/>
  </cols>
  <sheetData>
    <row r="1" spans="1:13" x14ac:dyDescent="0.25">
      <c r="D1" t="s">
        <v>239</v>
      </c>
      <c r="E1" t="s">
        <v>239</v>
      </c>
    </row>
    <row r="4" spans="1:13" ht="48.75" customHeight="1" thickBot="1" x14ac:dyDescent="0.3">
      <c r="B4" s="273" t="s">
        <v>296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1" t="s">
        <v>71</v>
      </c>
    </row>
    <row r="5" spans="1:13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M5" s="1" t="s">
        <v>72</v>
      </c>
    </row>
    <row r="6" spans="1:13" ht="22.5" thickTop="1" thickBot="1" x14ac:dyDescent="0.3">
      <c r="B6" s="111" t="s">
        <v>32</v>
      </c>
      <c r="C6" s="298" t="s">
        <v>73</v>
      </c>
      <c r="D6" s="299"/>
      <c r="E6" s="299"/>
      <c r="F6" s="299"/>
      <c r="G6" s="299"/>
      <c r="H6" s="299"/>
      <c r="I6" s="299"/>
      <c r="J6" s="299"/>
      <c r="K6" s="299"/>
      <c r="L6" s="299"/>
    </row>
    <row r="7" spans="1:13" ht="22.5" thickTop="1" thickBot="1" x14ac:dyDescent="0.3">
      <c r="B7" s="112"/>
      <c r="C7" s="303">
        <f t="shared" ref="C7" si="0">E7-1</f>
        <v>2022</v>
      </c>
      <c r="D7" s="301"/>
      <c r="E7" s="300">
        <f t="shared" ref="E7" si="1">G7-1</f>
        <v>2023</v>
      </c>
      <c r="F7" s="301"/>
      <c r="G7" s="300">
        <f t="shared" ref="G7" si="2">I7-1</f>
        <v>2024</v>
      </c>
      <c r="H7" s="301"/>
      <c r="I7" s="300">
        <f>K7-1</f>
        <v>2025</v>
      </c>
      <c r="J7" s="301"/>
      <c r="K7" s="300">
        <v>2026</v>
      </c>
      <c r="L7" s="302"/>
    </row>
    <row r="8" spans="1:13" ht="16.5" thickTop="1" thickBot="1" x14ac:dyDescent="0.3">
      <c r="B8" s="87"/>
      <c r="C8" s="113" t="s">
        <v>74</v>
      </c>
      <c r="D8" s="114" t="str">
        <f>CONCATENATE("dif ",RIGHT(C7,2),"/",RIGHT(C7-1,2))</f>
        <v>dif 22/21</v>
      </c>
      <c r="E8" s="115" t="s">
        <v>74</v>
      </c>
      <c r="F8" s="114" t="str">
        <f>CONCATENATE("dif ",RIGHT(E7,2),"/",RIGHT(C7,2))</f>
        <v>dif 23/22</v>
      </c>
      <c r="G8" s="115" t="s">
        <v>74</v>
      </c>
      <c r="H8" s="114" t="str">
        <f>CONCATENATE("dif ",RIGHT(G7,2),"/",RIGHT(E7,2))</f>
        <v>dif 24/23</v>
      </c>
      <c r="I8" s="115" t="s">
        <v>74</v>
      </c>
      <c r="J8" s="114" t="str">
        <f>CONCATENATE("dif ",RIGHT(I7,2),"/",RIGHT(G7,2))</f>
        <v>dif 25/24</v>
      </c>
      <c r="K8" s="115" t="s">
        <v>74</v>
      </c>
      <c r="L8" s="114" t="str">
        <f>CONCATENATE("dif ",RIGHT(K7,2),"/",RIGHT(I7,2))</f>
        <v>dif 26/25</v>
      </c>
    </row>
    <row r="9" spans="1:13" x14ac:dyDescent="0.25">
      <c r="A9" s="1" t="s">
        <v>75</v>
      </c>
      <c r="B9" s="116" t="s">
        <v>76</v>
      </c>
      <c r="C9" s="187">
        <v>2.8322493991234272</v>
      </c>
      <c r="D9" s="188">
        <v>0.93000480084358661</v>
      </c>
      <c r="E9" s="187">
        <v>2.5235291626074803</v>
      </c>
      <c r="F9" s="188">
        <f t="shared" ref="F9:H21" si="3">IFERROR(E9-C9,"-")</f>
        <v>-0.30872023651594693</v>
      </c>
      <c r="G9" s="187">
        <v>2.6381660470879802</v>
      </c>
      <c r="H9" s="188">
        <f t="shared" si="3"/>
        <v>0.11463688448049991</v>
      </c>
      <c r="I9" s="187">
        <v>2.3200146329566702</v>
      </c>
      <c r="J9" s="188">
        <f t="shared" ref="J9:J21" si="4">IFERROR(I9-G9,"-")</f>
        <v>-0.31815141413130998</v>
      </c>
      <c r="K9" s="187">
        <v>2.1576113730734043</v>
      </c>
      <c r="L9" s="188">
        <f t="shared" ref="L9:L15" si="5">IFERROR(K9-I9,"-")</f>
        <v>-0.16240325988326587</v>
      </c>
    </row>
    <row r="10" spans="1:13" x14ac:dyDescent="0.25">
      <c r="A10" s="1" t="s">
        <v>77</v>
      </c>
      <c r="B10" s="116" t="s">
        <v>78</v>
      </c>
      <c r="C10" s="187">
        <v>2.4567090685268771</v>
      </c>
      <c r="D10" s="188">
        <v>0.57360995150163152</v>
      </c>
      <c r="E10" s="187">
        <v>2.2917233809001099</v>
      </c>
      <c r="F10" s="188">
        <f t="shared" si="3"/>
        <v>-0.16498568762676724</v>
      </c>
      <c r="G10" s="187">
        <v>2.4732375690607733</v>
      </c>
      <c r="H10" s="188">
        <f t="shared" si="3"/>
        <v>0.18151418816066345</v>
      </c>
      <c r="I10" s="187">
        <v>2.1117708416914067</v>
      </c>
      <c r="J10" s="188">
        <f t="shared" si="4"/>
        <v>-0.36146672736936658</v>
      </c>
      <c r="K10" s="187">
        <v>2.0968158811070827</v>
      </c>
      <c r="L10" s="188">
        <f t="shared" si="5"/>
        <v>-1.4954960584323995E-2</v>
      </c>
    </row>
    <row r="11" spans="1:13" x14ac:dyDescent="0.25">
      <c r="A11" s="1" t="s">
        <v>79</v>
      </c>
      <c r="B11" s="116" t="s">
        <v>80</v>
      </c>
      <c r="C11" s="187">
        <v>2.3488082178119076</v>
      </c>
      <c r="D11" s="188">
        <v>0.18346686792827693</v>
      </c>
      <c r="E11" s="187">
        <v>2.3180265353142131</v>
      </c>
      <c r="F11" s="188">
        <f t="shared" si="3"/>
        <v>-3.0781682497694529E-2</v>
      </c>
      <c r="G11" s="187">
        <v>2.5529145444255801</v>
      </c>
      <c r="H11" s="188">
        <f t="shared" si="3"/>
        <v>0.23488800911136698</v>
      </c>
      <c r="I11" s="187">
        <v>2.1110739128817468</v>
      </c>
      <c r="J11" s="188">
        <f t="shared" si="4"/>
        <v>-0.44184063154383324</v>
      </c>
      <c r="K11" s="187">
        <v>2.1481083404987102</v>
      </c>
      <c r="L11" s="188">
        <f t="shared" si="5"/>
        <v>3.7034427616963406E-2</v>
      </c>
    </row>
    <row r="12" spans="1:13" x14ac:dyDescent="0.25">
      <c r="A12" s="1" t="s">
        <v>81</v>
      </c>
      <c r="B12" s="116" t="s">
        <v>82</v>
      </c>
      <c r="C12" s="187">
        <v>2.5104382929642446</v>
      </c>
      <c r="D12" s="188">
        <v>0.47261397286421314</v>
      </c>
      <c r="E12" s="187">
        <v>2.2301869061292678</v>
      </c>
      <c r="F12" s="188">
        <f t="shared" si="3"/>
        <v>-0.28025138683497675</v>
      </c>
      <c r="G12" s="187">
        <v>2.4243523043775292</v>
      </c>
      <c r="H12" s="188">
        <f t="shared" si="3"/>
        <v>0.1941653982482614</v>
      </c>
      <c r="I12" s="187">
        <v>2.2593373927218678</v>
      </c>
      <c r="J12" s="188">
        <f t="shared" si="4"/>
        <v>-0.1650149116556614</v>
      </c>
      <c r="K12" s="187">
        <v>2.1392322706571241</v>
      </c>
      <c r="L12" s="188">
        <f t="shared" si="5"/>
        <v>-0.12010512206474377</v>
      </c>
    </row>
    <row r="13" spans="1:13" x14ac:dyDescent="0.25">
      <c r="A13" s="1" t="s">
        <v>83</v>
      </c>
      <c r="B13" s="116" t="s">
        <v>84</v>
      </c>
      <c r="C13" s="187">
        <v>2.4632700120786208</v>
      </c>
      <c r="D13" s="188">
        <v>0.54816439230978853</v>
      </c>
      <c r="E13" s="187">
        <v>2.3830322688887646</v>
      </c>
      <c r="F13" s="188">
        <f t="shared" si="3"/>
        <v>-8.0237743189856214E-2</v>
      </c>
      <c r="G13" s="187">
        <v>2.197144331670394</v>
      </c>
      <c r="H13" s="188">
        <f t="shared" si="3"/>
        <v>-0.1858879372183706</v>
      </c>
      <c r="I13" s="187">
        <v>2.0151193633952253</v>
      </c>
      <c r="J13" s="188">
        <f t="shared" si="4"/>
        <v>-0.18202496827516867</v>
      </c>
      <c r="K13" s="187">
        <v>2.2807980783371735</v>
      </c>
      <c r="L13" s="188">
        <f t="shared" si="5"/>
        <v>0.26567871494194817</v>
      </c>
    </row>
    <row r="14" spans="1:13" x14ac:dyDescent="0.25">
      <c r="A14" s="1" t="s">
        <v>85</v>
      </c>
      <c r="B14" s="116" t="s">
        <v>86</v>
      </c>
      <c r="C14" s="187">
        <v>2.2983870967741935</v>
      </c>
      <c r="D14" s="188">
        <v>0.31958198636875812</v>
      </c>
      <c r="E14" s="187">
        <v>2.1486403825835509</v>
      </c>
      <c r="F14" s="188">
        <f t="shared" si="3"/>
        <v>-0.14974671419064256</v>
      </c>
      <c r="G14" s="187">
        <v>2.0572924688125673</v>
      </c>
      <c r="H14" s="188">
        <f t="shared" si="3"/>
        <v>-9.1347913770983613E-2</v>
      </c>
      <c r="I14" s="187">
        <v>2.0359794950414409</v>
      </c>
      <c r="J14" s="188">
        <f t="shared" si="4"/>
        <v>-2.1312973771126398E-2</v>
      </c>
      <c r="K14" s="187">
        <v>2.2807980783371735</v>
      </c>
      <c r="L14" s="188">
        <f t="shared" si="5"/>
        <v>0.24481858329573258</v>
      </c>
    </row>
    <row r="15" spans="1:13" x14ac:dyDescent="0.25">
      <c r="A15" s="1" t="s">
        <v>87</v>
      </c>
      <c r="B15" s="116" t="s">
        <v>88</v>
      </c>
      <c r="C15" s="187">
        <v>2.3937399767737655</v>
      </c>
      <c r="D15" s="188">
        <v>0.22510544419979706</v>
      </c>
      <c r="E15" s="187">
        <v>2.3548041701887854</v>
      </c>
      <c r="F15" s="188">
        <f t="shared" si="3"/>
        <v>-3.8935806584980082E-2</v>
      </c>
      <c r="G15" s="187">
        <v>2.0914386094674557</v>
      </c>
      <c r="H15" s="188">
        <f t="shared" si="3"/>
        <v>-0.26336556072132966</v>
      </c>
      <c r="I15" s="187">
        <v>2.0875884890880911</v>
      </c>
      <c r="J15" s="188">
        <f t="shared" si="4"/>
        <v>-3.8501203793646077E-3</v>
      </c>
      <c r="K15" s="187">
        <v>2.2807980783371735</v>
      </c>
      <c r="L15" s="188">
        <f t="shared" si="5"/>
        <v>0.19320958924908238</v>
      </c>
    </row>
    <row r="16" spans="1:13" x14ac:dyDescent="0.25">
      <c r="A16" s="1" t="s">
        <v>89</v>
      </c>
      <c r="B16" s="116" t="s">
        <v>90</v>
      </c>
      <c r="C16" s="187">
        <v>2.6865335051546393</v>
      </c>
      <c r="D16" s="188">
        <v>9.0411422569360855E-2</v>
      </c>
      <c r="E16" s="187">
        <v>2.8928833455612621</v>
      </c>
      <c r="F16" s="188">
        <f t="shared" si="3"/>
        <v>0.20634984040662285</v>
      </c>
      <c r="G16" s="187">
        <v>2.8021182816919938</v>
      </c>
      <c r="H16" s="188">
        <f t="shared" si="3"/>
        <v>-9.0765063869268303E-2</v>
      </c>
      <c r="I16" s="187">
        <v>2.8997583829335847</v>
      </c>
      <c r="J16" s="188">
        <f t="shared" si="4"/>
        <v>9.7640101241590838E-2</v>
      </c>
      <c r="K16" s="187"/>
      <c r="L16" s="188"/>
    </row>
    <row r="17" spans="1:13" x14ac:dyDescent="0.25">
      <c r="A17" s="1" t="s">
        <v>91</v>
      </c>
      <c r="B17" s="116" t="s">
        <v>92</v>
      </c>
      <c r="C17" s="187">
        <v>2.1155368505436143</v>
      </c>
      <c r="D17" s="188">
        <v>-8.211992114338873E-2</v>
      </c>
      <c r="E17" s="187">
        <v>2.5199899579489111</v>
      </c>
      <c r="F17" s="188">
        <f t="shared" si="3"/>
        <v>0.40445310740529683</v>
      </c>
      <c r="G17" s="187">
        <v>2.2043213975583593</v>
      </c>
      <c r="H17" s="188">
        <f t="shared" si="3"/>
        <v>-0.3156685603905518</v>
      </c>
      <c r="I17" s="187">
        <v>2.1866574965612107</v>
      </c>
      <c r="J17" s="188">
        <f t="shared" si="4"/>
        <v>-1.7663900997148652E-2</v>
      </c>
      <c r="K17" s="187"/>
      <c r="L17" s="188"/>
    </row>
    <row r="18" spans="1:13" x14ac:dyDescent="0.25">
      <c r="A18" s="1" t="s">
        <v>93</v>
      </c>
      <c r="B18" s="116" t="s">
        <v>94</v>
      </c>
      <c r="C18" s="187">
        <v>2.1997993799015139</v>
      </c>
      <c r="D18" s="188">
        <v>3.0284649411173703E-2</v>
      </c>
      <c r="E18" s="187">
        <v>2.3996983408748114</v>
      </c>
      <c r="F18" s="188">
        <f t="shared" si="3"/>
        <v>0.19989896097329751</v>
      </c>
      <c r="G18" s="187">
        <v>2.2301287686818019</v>
      </c>
      <c r="H18" s="188">
        <f t="shared" si="3"/>
        <v>-0.1695695721930095</v>
      </c>
      <c r="I18" s="187">
        <v>2.2685847398749437</v>
      </c>
      <c r="J18" s="188">
        <f t="shared" si="4"/>
        <v>3.8455971193141814E-2</v>
      </c>
      <c r="K18" s="187"/>
      <c r="L18" s="188"/>
    </row>
    <row r="19" spans="1:13" x14ac:dyDescent="0.25">
      <c r="A19" s="1" t="s">
        <v>95</v>
      </c>
      <c r="B19" s="116" t="s">
        <v>96</v>
      </c>
      <c r="C19" s="187">
        <v>2.2195556611619343</v>
      </c>
      <c r="D19" s="188">
        <v>5.8341940845311413E-2</v>
      </c>
      <c r="E19" s="187">
        <v>2.3657835805129506</v>
      </c>
      <c r="F19" s="188">
        <f t="shared" si="3"/>
        <v>0.14622791935101631</v>
      </c>
      <c r="G19" s="187">
        <v>2.1195535180386686</v>
      </c>
      <c r="H19" s="188">
        <f t="shared" si="3"/>
        <v>-0.24623006247428192</v>
      </c>
      <c r="I19" s="187">
        <v>1.9873622130169206</v>
      </c>
      <c r="J19" s="188">
        <f t="shared" si="4"/>
        <v>-0.13219130502174803</v>
      </c>
      <c r="K19" s="187"/>
      <c r="L19" s="188"/>
    </row>
    <row r="20" spans="1:13" x14ac:dyDescent="0.25">
      <c r="A20" s="1" t="s">
        <v>97</v>
      </c>
      <c r="B20" s="116" t="s">
        <v>98</v>
      </c>
      <c r="C20" s="187">
        <v>2.2557062382641351</v>
      </c>
      <c r="D20" s="188">
        <v>-0.31298262864431647</v>
      </c>
      <c r="E20" s="187">
        <v>2.5818146474218788</v>
      </c>
      <c r="F20" s="188">
        <f t="shared" si="3"/>
        <v>0.32610840915774375</v>
      </c>
      <c r="G20" s="187">
        <v>2.241869341020748</v>
      </c>
      <c r="H20" s="188">
        <f t="shared" si="3"/>
        <v>-0.33994530640113085</v>
      </c>
      <c r="I20" s="187">
        <v>2.0944992947813823</v>
      </c>
      <c r="J20" s="188">
        <f t="shared" si="4"/>
        <v>-0.14737004623936567</v>
      </c>
      <c r="K20" s="187"/>
      <c r="L20" s="188"/>
    </row>
    <row r="21" spans="1:13" ht="15.75" x14ac:dyDescent="0.25">
      <c r="A21" s="1" t="s">
        <v>0</v>
      </c>
      <c r="B21" s="119" t="s">
        <v>32</v>
      </c>
      <c r="C21" s="189">
        <v>2.3720011696365835</v>
      </c>
      <c r="D21" s="190">
        <v>0.1853862102434336</v>
      </c>
      <c r="E21" s="189">
        <v>2.4072295079235473</v>
      </c>
      <c r="F21" s="190">
        <f t="shared" si="3"/>
        <v>3.5228338286963812E-2</v>
      </c>
      <c r="G21" s="189">
        <v>2.3296593146357729</v>
      </c>
      <c r="H21" s="190">
        <f t="shared" si="3"/>
        <v>-7.7570193287774369E-2</v>
      </c>
      <c r="I21" s="189">
        <v>2.1778762283219097</v>
      </c>
      <c r="J21" s="190">
        <f t="shared" si="4"/>
        <v>-0.15178308631386317</v>
      </c>
      <c r="K21" s="189">
        <v>2.1533491162178038</v>
      </c>
      <c r="L21" s="190">
        <v>1.8273736891540882E-2</v>
      </c>
    </row>
    <row r="22" spans="1:13" ht="6" customHeight="1" x14ac:dyDescent="0.25"/>
    <row r="23" spans="1:13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</row>
    <row r="24" spans="1:13" x14ac:dyDescent="0.25">
      <c r="E24" s="122"/>
      <c r="G24" s="122"/>
      <c r="I24" s="122"/>
      <c r="L24" s="81"/>
    </row>
    <row r="26" spans="1:13" ht="59.25" customHeight="1" thickBot="1" x14ac:dyDescent="0.3">
      <c r="B26" s="273" t="s">
        <v>297</v>
      </c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1" t="s">
        <v>99</v>
      </c>
    </row>
    <row r="27" spans="1:13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M27" s="1" t="s">
        <v>100</v>
      </c>
    </row>
    <row r="28" spans="1:13" ht="22.5" thickTop="1" thickBot="1" x14ac:dyDescent="0.3">
      <c r="B28" s="123" t="s">
        <v>101</v>
      </c>
      <c r="C28" s="298" t="s">
        <v>102</v>
      </c>
      <c r="D28" s="299"/>
      <c r="E28" s="299"/>
      <c r="F28" s="299"/>
      <c r="G28" s="299"/>
      <c r="H28" s="299"/>
      <c r="I28" s="299"/>
      <c r="J28" s="299"/>
      <c r="K28" s="299"/>
      <c r="L28" s="299"/>
    </row>
    <row r="29" spans="1:13" ht="22.5" thickTop="1" thickBot="1" x14ac:dyDescent="0.3">
      <c r="B29" s="112"/>
      <c r="C29" s="303">
        <f t="shared" ref="C29" si="6">E29-1</f>
        <v>2022</v>
      </c>
      <c r="D29" s="301"/>
      <c r="E29" s="300">
        <f t="shared" ref="E29" si="7">G29-1</f>
        <v>2023</v>
      </c>
      <c r="F29" s="301"/>
      <c r="G29" s="300">
        <f t="shared" ref="G29" si="8">I29-1</f>
        <v>2024</v>
      </c>
      <c r="H29" s="301"/>
      <c r="I29" s="300">
        <f>K29-1</f>
        <v>2025</v>
      </c>
      <c r="J29" s="301"/>
      <c r="K29" s="300">
        <v>2026</v>
      </c>
      <c r="L29" s="302"/>
    </row>
    <row r="30" spans="1:13" ht="16.5" thickTop="1" thickBot="1" x14ac:dyDescent="0.3">
      <c r="B30" s="87"/>
      <c r="C30" s="113" t="s">
        <v>74</v>
      </c>
      <c r="D30" s="114" t="str">
        <f>CONCATENATE("dif ",RIGHT(C29,2),"/",RIGHT(C29-1,2))</f>
        <v>dif 22/21</v>
      </c>
      <c r="E30" s="115" t="s">
        <v>74</v>
      </c>
      <c r="F30" s="114" t="str">
        <f>CONCATENATE("dif ",RIGHT(E29,2),"/",RIGHT(C29,2))</f>
        <v>dif 23/22</v>
      </c>
      <c r="G30" s="115" t="s">
        <v>74</v>
      </c>
      <c r="H30" s="114" t="str">
        <f>CONCATENATE("dif ",RIGHT(G29,2),"/",RIGHT(E29,2))</f>
        <v>dif 24/23</v>
      </c>
      <c r="I30" s="115" t="s">
        <v>74</v>
      </c>
      <c r="J30" s="114" t="str">
        <f>CONCATENATE("dif ",RIGHT(I29,2),"/",RIGHT(G29,2))</f>
        <v>dif 25/24</v>
      </c>
      <c r="K30" s="115" t="s">
        <v>74</v>
      </c>
      <c r="L30" s="114" t="str">
        <f>CONCATENATE("dif ",RIGHT(K29,2),"/",RIGHT(I29,2))</f>
        <v>dif 26/25</v>
      </c>
    </row>
    <row r="31" spans="1:13" x14ac:dyDescent="0.25">
      <c r="B31" s="116" t="s">
        <v>76</v>
      </c>
      <c r="C31" s="187">
        <v>2.2843450479233227</v>
      </c>
      <c r="D31" s="188">
        <v>0.50335967455919639</v>
      </c>
      <c r="E31" s="187">
        <v>2.0700344431687716</v>
      </c>
      <c r="F31" s="188">
        <f t="shared" ref="F31:H43" si="9">IFERROR(E31-C31,"-")</f>
        <v>-0.2143106047545511</v>
      </c>
      <c r="G31" s="187">
        <v>2.1251545663310369</v>
      </c>
      <c r="H31" s="188">
        <f t="shared" si="9"/>
        <v>5.5120123162265333E-2</v>
      </c>
      <c r="I31" s="187">
        <v>1.9402484055052032</v>
      </c>
      <c r="J31" s="188">
        <f t="shared" ref="J31:L43" si="10">IFERROR(I31-G31,"-")</f>
        <v>-0.18490616082583378</v>
      </c>
      <c r="K31" s="187">
        <v>1.7940283400809716</v>
      </c>
      <c r="L31" s="188">
        <f t="shared" si="10"/>
        <v>-0.1462200654242316</v>
      </c>
    </row>
    <row r="32" spans="1:13" x14ac:dyDescent="0.25">
      <c r="B32" s="116" t="s">
        <v>78</v>
      </c>
      <c r="C32" s="187">
        <v>2.0040022234574764</v>
      </c>
      <c r="D32" s="188">
        <v>0.15353862116905659</v>
      </c>
      <c r="E32" s="187">
        <v>1.9573781345692296</v>
      </c>
      <c r="F32" s="188">
        <f t="shared" si="9"/>
        <v>-4.6624088888246762E-2</v>
      </c>
      <c r="G32" s="187">
        <v>2.0574074074074074</v>
      </c>
      <c r="H32" s="188">
        <f t="shared" si="9"/>
        <v>0.10002927283817775</v>
      </c>
      <c r="I32" s="187">
        <v>1.7700534759358288</v>
      </c>
      <c r="J32" s="188">
        <f t="shared" si="10"/>
        <v>-0.28735393147157851</v>
      </c>
      <c r="K32" s="187">
        <v>1.8692814854682454</v>
      </c>
      <c r="L32" s="188">
        <f t="shared" si="10"/>
        <v>9.9228009532416506E-2</v>
      </c>
    </row>
    <row r="33" spans="2:13" x14ac:dyDescent="0.25">
      <c r="B33" s="116" t="s">
        <v>80</v>
      </c>
      <c r="C33" s="187">
        <v>1.9201727861771059</v>
      </c>
      <c r="D33" s="188">
        <v>-7.123865443219568E-2</v>
      </c>
      <c r="E33" s="187">
        <v>1.9600780234070221</v>
      </c>
      <c r="F33" s="188">
        <f t="shared" si="9"/>
        <v>3.9905237229916235E-2</v>
      </c>
      <c r="G33" s="187">
        <v>2.0040615480746702</v>
      </c>
      <c r="H33" s="188">
        <f t="shared" si="9"/>
        <v>4.39835246676481E-2</v>
      </c>
      <c r="I33" s="187">
        <v>1.9781357882623705</v>
      </c>
      <c r="J33" s="188">
        <f t="shared" si="10"/>
        <v>-2.592575981229972E-2</v>
      </c>
      <c r="K33" s="187">
        <v>1.8782952548330405</v>
      </c>
      <c r="L33" s="188">
        <f t="shared" si="10"/>
        <v>-9.984053342932997E-2</v>
      </c>
    </row>
    <row r="34" spans="2:13" x14ac:dyDescent="0.25">
      <c r="B34" s="116" t="s">
        <v>82</v>
      </c>
      <c r="C34" s="187">
        <v>2.0611977950107447</v>
      </c>
      <c r="D34" s="188">
        <v>0.20815752547761468</v>
      </c>
      <c r="E34" s="187">
        <v>2.0468622656886715</v>
      </c>
      <c r="F34" s="188">
        <f>IFERROR(E34-C34,"-")</f>
        <v>-1.433552932207327E-2</v>
      </c>
      <c r="G34" s="187">
        <v>1.924949290060852</v>
      </c>
      <c r="H34" s="188">
        <f>IFERROR(G34-E34,"-")</f>
        <v>-0.12191297562781944</v>
      </c>
      <c r="I34" s="187">
        <v>2.0816009928637915</v>
      </c>
      <c r="J34" s="188">
        <f>IFERROR(I34-G34,"-")</f>
        <v>0.1566517028029395</v>
      </c>
      <c r="K34" s="187">
        <v>1.9166132135984606</v>
      </c>
      <c r="L34" s="188">
        <f t="shared" si="10"/>
        <v>-0.16498777926533092</v>
      </c>
    </row>
    <row r="35" spans="2:13" x14ac:dyDescent="0.25">
      <c r="B35" s="116" t="s">
        <v>84</v>
      </c>
      <c r="C35" s="187">
        <v>2.0660325446112728</v>
      </c>
      <c r="D35" s="188">
        <v>0.29377246839000026</v>
      </c>
      <c r="E35" s="187">
        <v>2.1347812925684879</v>
      </c>
      <c r="F35" s="188">
        <f t="shared" si="9"/>
        <v>6.8748747957215084E-2</v>
      </c>
      <c r="G35" s="187">
        <v>1.9562742152289081</v>
      </c>
      <c r="H35" s="188">
        <f t="shared" si="9"/>
        <v>-0.17850707733957982</v>
      </c>
      <c r="I35" s="187">
        <v>1.7977128187175448</v>
      </c>
      <c r="J35" s="188">
        <f t="shared" si="10"/>
        <v>-0.15856139651136325</v>
      </c>
      <c r="K35" s="187">
        <v>2.0087370411423353</v>
      </c>
      <c r="L35" s="188">
        <f t="shared" si="10"/>
        <v>0.21102422242479046</v>
      </c>
    </row>
    <row r="36" spans="2:13" x14ac:dyDescent="0.25">
      <c r="B36" s="116" t="s">
        <v>86</v>
      </c>
      <c r="C36" s="187">
        <v>1.9585784511241842</v>
      </c>
      <c r="D36" s="188">
        <v>9.975136527170525E-2</v>
      </c>
      <c r="E36" s="187">
        <v>1.9800244910454614</v>
      </c>
      <c r="F36" s="188">
        <f t="shared" si="9"/>
        <v>2.1446039921277249E-2</v>
      </c>
      <c r="G36" s="187">
        <v>1.8968067226890757</v>
      </c>
      <c r="H36" s="188">
        <f t="shared" si="9"/>
        <v>-8.3217768356385724E-2</v>
      </c>
      <c r="I36" s="187">
        <v>1.8684021113243763</v>
      </c>
      <c r="J36" s="188">
        <f t="shared" si="10"/>
        <v>-2.8404611364699406E-2</v>
      </c>
      <c r="K36" s="187">
        <v>1.9089116719242902</v>
      </c>
      <c r="L36" s="188">
        <f t="shared" si="10"/>
        <v>4.0509560599913952E-2</v>
      </c>
    </row>
    <row r="37" spans="2:13" x14ac:dyDescent="0.25">
      <c r="B37" s="116" t="s">
        <v>88</v>
      </c>
      <c r="C37" s="187">
        <v>2.0426347305389223</v>
      </c>
      <c r="D37" s="188">
        <v>-2.6966397583559676E-2</v>
      </c>
      <c r="E37" s="187">
        <v>2.0822476220925585</v>
      </c>
      <c r="F37" s="188">
        <f t="shared" si="9"/>
        <v>3.9612891553636231E-2</v>
      </c>
      <c r="G37" s="187">
        <v>1.8462907283549119</v>
      </c>
      <c r="H37" s="188">
        <f t="shared" si="9"/>
        <v>-0.23595689373764661</v>
      </c>
      <c r="I37" s="187">
        <v>1.8151767267854151</v>
      </c>
      <c r="J37" s="188">
        <f t="shared" si="10"/>
        <v>-3.1114001569496841E-2</v>
      </c>
      <c r="K37" s="187">
        <v>1.8979140517602056</v>
      </c>
      <c r="L37" s="188">
        <f t="shared" si="10"/>
        <v>8.2737324974790472E-2</v>
      </c>
    </row>
    <row r="38" spans="2:13" x14ac:dyDescent="0.25">
      <c r="B38" s="116" t="s">
        <v>90</v>
      </c>
      <c r="C38" s="187">
        <v>2.3593785183517224</v>
      </c>
      <c r="D38" s="188">
        <v>-4.214570592699296E-2</v>
      </c>
      <c r="E38" s="187">
        <v>2.5128088868737248</v>
      </c>
      <c r="F38" s="188">
        <f t="shared" si="9"/>
        <v>0.15343036852200242</v>
      </c>
      <c r="G38" s="187">
        <v>2.3323659034719983</v>
      </c>
      <c r="H38" s="188">
        <f t="shared" si="9"/>
        <v>-0.18044298340172649</v>
      </c>
      <c r="I38" s="187">
        <v>2.5127309495358028</v>
      </c>
      <c r="J38" s="188">
        <f t="shared" si="10"/>
        <v>0.18036504606380444</v>
      </c>
      <c r="K38" s="187"/>
      <c r="L38" s="188"/>
    </row>
    <row r="39" spans="2:13" x14ac:dyDescent="0.25">
      <c r="B39" s="116" t="s">
        <v>92</v>
      </c>
      <c r="C39" s="187">
        <v>1.9090131425460766</v>
      </c>
      <c r="D39" s="188">
        <v>-0.12900726746024516</v>
      </c>
      <c r="E39" s="187">
        <v>2.0412908930150309</v>
      </c>
      <c r="F39" s="188">
        <f t="shared" si="9"/>
        <v>0.13227775046895429</v>
      </c>
      <c r="G39" s="187">
        <v>1.8926924689115552</v>
      </c>
      <c r="H39" s="188">
        <f t="shared" si="9"/>
        <v>-0.14859842410347568</v>
      </c>
      <c r="I39" s="187">
        <v>1.9160999173711308</v>
      </c>
      <c r="J39" s="188">
        <f t="shared" si="10"/>
        <v>2.3407448459575653E-2</v>
      </c>
      <c r="K39" s="187"/>
      <c r="L39" s="188"/>
    </row>
    <row r="40" spans="2:13" x14ac:dyDescent="0.25">
      <c r="B40" s="116" t="s">
        <v>94</v>
      </c>
      <c r="C40" s="187">
        <v>1.9914913013750666</v>
      </c>
      <c r="D40" s="188">
        <v>9.1950089541495972E-2</v>
      </c>
      <c r="E40" s="187">
        <v>2.0386764073914914</v>
      </c>
      <c r="F40" s="188">
        <f t="shared" si="9"/>
        <v>4.7185106016424783E-2</v>
      </c>
      <c r="G40" s="187">
        <v>1.9117393011385944</v>
      </c>
      <c r="H40" s="188">
        <f t="shared" si="9"/>
        <v>-0.126937106252897</v>
      </c>
      <c r="I40" s="187">
        <v>2.0762889061473206</v>
      </c>
      <c r="J40" s="188">
        <f t="shared" si="10"/>
        <v>0.16454960500872629</v>
      </c>
      <c r="K40" s="187"/>
      <c r="L40" s="188"/>
    </row>
    <row r="41" spans="2:13" x14ac:dyDescent="0.25">
      <c r="B41" s="116" t="s">
        <v>96</v>
      </c>
      <c r="C41" s="187">
        <v>1.8761151809675782</v>
      </c>
      <c r="D41" s="188">
        <v>4.0305485635145466E-2</v>
      </c>
      <c r="E41" s="187">
        <v>1.9529025191675795</v>
      </c>
      <c r="F41" s="188">
        <f t="shared" si="9"/>
        <v>7.6787338200001276E-2</v>
      </c>
      <c r="G41" s="187">
        <v>1.9577701566807881</v>
      </c>
      <c r="H41" s="188">
        <f t="shared" si="9"/>
        <v>4.8676375132086225E-3</v>
      </c>
      <c r="I41" s="187">
        <v>1.7456904657431205</v>
      </c>
      <c r="J41" s="188">
        <f t="shared" si="10"/>
        <v>-0.21207969093766765</v>
      </c>
      <c r="K41" s="187"/>
      <c r="L41" s="188"/>
    </row>
    <row r="42" spans="2:13" x14ac:dyDescent="0.25">
      <c r="B42" s="116" t="s">
        <v>98</v>
      </c>
      <c r="C42" s="187">
        <v>1.9508135403029736</v>
      </c>
      <c r="D42" s="188">
        <v>-0.23833406457957862</v>
      </c>
      <c r="E42" s="187">
        <v>2.1226911666188153</v>
      </c>
      <c r="F42" s="188">
        <f t="shared" si="9"/>
        <v>0.17187762631584169</v>
      </c>
      <c r="G42" s="187">
        <v>1.910672057365169</v>
      </c>
      <c r="H42" s="188">
        <f t="shared" si="9"/>
        <v>-0.21201910925364631</v>
      </c>
      <c r="I42" s="187">
        <v>1.8034905310063127</v>
      </c>
      <c r="J42" s="188">
        <f t="shared" si="10"/>
        <v>-0.10718152635885625</v>
      </c>
      <c r="K42" s="187"/>
      <c r="L42" s="188"/>
    </row>
    <row r="43" spans="2:13" ht="15.75" x14ac:dyDescent="0.25">
      <c r="B43" s="119" t="s">
        <v>32</v>
      </c>
      <c r="C43" s="189">
        <v>2.016102486544193</v>
      </c>
      <c r="D43" s="190">
        <v>3.9850298742324153E-2</v>
      </c>
      <c r="E43" s="189">
        <v>2.0604222424497669</v>
      </c>
      <c r="F43" s="190">
        <f t="shared" si="9"/>
        <v>4.431975590557391E-2</v>
      </c>
      <c r="G43" s="189">
        <v>1.9698887093879016</v>
      </c>
      <c r="H43" s="190">
        <f t="shared" si="9"/>
        <v>-9.053353306186529E-2</v>
      </c>
      <c r="I43" s="189">
        <v>1.9258028172171993</v>
      </c>
      <c r="J43" s="190">
        <f t="shared" si="10"/>
        <v>-4.4085892170702357E-2</v>
      </c>
      <c r="K43" s="189">
        <v>1.8974826085725343</v>
      </c>
      <c r="L43" s="190">
        <v>1.1735595300292445E-2</v>
      </c>
    </row>
    <row r="44" spans="2:13" ht="6" customHeight="1" x14ac:dyDescent="0.25"/>
    <row r="45" spans="2:13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7" spans="2:13" x14ac:dyDescent="0.25">
      <c r="E47" s="122"/>
      <c r="G47" s="122"/>
      <c r="I47" s="125"/>
    </row>
    <row r="48" spans="2:13" ht="48.75" customHeight="1" thickBot="1" x14ac:dyDescent="0.3">
      <c r="B48" s="273" t="s">
        <v>298</v>
      </c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1" t="s">
        <v>103</v>
      </c>
    </row>
    <row r="49" spans="1:13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M49" s="1" t="s">
        <v>104</v>
      </c>
    </row>
    <row r="50" spans="1:13" ht="22.5" thickTop="1" thickBot="1" x14ac:dyDescent="0.3">
      <c r="B50" s="112"/>
      <c r="C50" s="298" t="s">
        <v>105</v>
      </c>
      <c r="D50" s="299"/>
      <c r="E50" s="299"/>
      <c r="F50" s="299"/>
      <c r="G50" s="299"/>
      <c r="H50" s="299"/>
      <c r="I50" s="299"/>
      <c r="J50" s="299"/>
      <c r="K50" s="299"/>
      <c r="L50" s="299"/>
    </row>
    <row r="51" spans="1:13" ht="22.5" thickTop="1" thickBot="1" x14ac:dyDescent="0.3">
      <c r="B51" s="112"/>
      <c r="C51" s="303">
        <f t="shared" ref="C51" si="11">E51-1</f>
        <v>2022</v>
      </c>
      <c r="D51" s="301"/>
      <c r="E51" s="300">
        <f t="shared" ref="E51" si="12">G51-1</f>
        <v>2023</v>
      </c>
      <c r="F51" s="301"/>
      <c r="G51" s="300">
        <f t="shared" ref="G51" si="13">I51-1</f>
        <v>2024</v>
      </c>
      <c r="H51" s="301"/>
      <c r="I51" s="300">
        <f>K51-1</f>
        <v>2025</v>
      </c>
      <c r="J51" s="301"/>
      <c r="K51" s="300">
        <v>2026</v>
      </c>
      <c r="L51" s="302"/>
    </row>
    <row r="52" spans="1:13" ht="16.5" thickTop="1" thickBot="1" x14ac:dyDescent="0.3">
      <c r="B52" s="87"/>
      <c r="C52" s="113" t="s">
        <v>74</v>
      </c>
      <c r="D52" s="114" t="str">
        <f>CONCATENATE("dif ",RIGHT(C51,2),"/",RIGHT(C51-1,2))</f>
        <v>dif 22/21</v>
      </c>
      <c r="E52" s="115" t="s">
        <v>74</v>
      </c>
      <c r="F52" s="114" t="str">
        <f>CONCATENATE("dif ",RIGHT(E51,2),"/",RIGHT(C51,2))</f>
        <v>dif 23/22</v>
      </c>
      <c r="G52" s="115" t="s">
        <v>74</v>
      </c>
      <c r="H52" s="114" t="str">
        <f>CONCATENATE("dif ",RIGHT(G51,2),"/",RIGHT(E51,2))</f>
        <v>dif 24/23</v>
      </c>
      <c r="I52" s="115" t="s">
        <v>74</v>
      </c>
      <c r="J52" s="114" t="str">
        <f>CONCATENATE("dif ",RIGHT(I51,2),"/",RIGHT(G51,2))</f>
        <v>dif 25/24</v>
      </c>
      <c r="K52" s="115" t="s">
        <v>74</v>
      </c>
      <c r="L52" s="114" t="str">
        <f>CONCATENATE("dif ",RIGHT(K51,2),"/",RIGHT(I51,2))</f>
        <v>dif 26/25</v>
      </c>
    </row>
    <row r="53" spans="1:13" x14ac:dyDescent="0.25">
      <c r="A53" s="1">
        <v>1</v>
      </c>
      <c r="B53" s="116" t="s">
        <v>76</v>
      </c>
      <c r="C53" s="187">
        <v>2.4309420474853205</v>
      </c>
      <c r="D53" s="188">
        <v>0.36224516363262937</v>
      </c>
      <c r="E53" s="187">
        <v>2.1622018348623855</v>
      </c>
      <c r="F53" s="188">
        <f t="shared" ref="F53:H65" si="14">IFERROR(E53-C53,"-")</f>
        <v>-0.26874021262293502</v>
      </c>
      <c r="G53" s="187">
        <v>2.294748124330118</v>
      </c>
      <c r="H53" s="188">
        <f t="shared" si="14"/>
        <v>0.1325462894677325</v>
      </c>
      <c r="I53" s="187">
        <v>2.1155871886120998</v>
      </c>
      <c r="J53" s="188">
        <f t="shared" ref="J53:L65" si="15">IFERROR(I53-G53,"-")</f>
        <v>-0.17916093571801817</v>
      </c>
      <c r="K53" s="187">
        <v>1.8389566571502725</v>
      </c>
      <c r="L53" s="188">
        <f t="shared" si="15"/>
        <v>-0.27663053146182737</v>
      </c>
    </row>
    <row r="54" spans="1:13" x14ac:dyDescent="0.25">
      <c r="A54" s="1">
        <v>2</v>
      </c>
      <c r="B54" s="116" t="s">
        <v>78</v>
      </c>
      <c r="C54" s="187">
        <v>2.1549719326383321</v>
      </c>
      <c r="D54" s="188">
        <v>-0.16696149189427167</v>
      </c>
      <c r="E54" s="187">
        <v>2.155624515128006</v>
      </c>
      <c r="F54" s="188">
        <f t="shared" si="14"/>
        <v>6.5258248967392518E-4</v>
      </c>
      <c r="G54" s="187">
        <v>2.2830518345952244</v>
      </c>
      <c r="H54" s="188">
        <f t="shared" si="14"/>
        <v>0.12742731946721841</v>
      </c>
      <c r="I54" s="187">
        <v>1.9233066377087009</v>
      </c>
      <c r="J54" s="188">
        <f t="shared" si="15"/>
        <v>-0.35974519688652351</v>
      </c>
      <c r="K54" s="187">
        <v>1.9663677130044843</v>
      </c>
      <c r="L54" s="188">
        <f t="shared" si="15"/>
        <v>4.3061075295783402E-2</v>
      </c>
    </row>
    <row r="55" spans="1:13" x14ac:dyDescent="0.25">
      <c r="A55" s="1">
        <v>3</v>
      </c>
      <c r="B55" s="116" t="s">
        <v>80</v>
      </c>
      <c r="C55" s="187">
        <v>1.9960493046776233</v>
      </c>
      <c r="D55" s="188">
        <v>-0.19972377652371165</v>
      </c>
      <c r="E55" s="187">
        <v>2.0558081382132305</v>
      </c>
      <c r="F55" s="188">
        <f t="shared" si="14"/>
        <v>5.9758833535607181E-2</v>
      </c>
      <c r="G55" s="187">
        <v>2.1673225477335665</v>
      </c>
      <c r="H55" s="188">
        <f t="shared" si="14"/>
        <v>0.11151440952033598</v>
      </c>
      <c r="I55" s="187">
        <v>2.2431515783981215</v>
      </c>
      <c r="J55" s="188">
        <f t="shared" si="15"/>
        <v>7.5829030664555042E-2</v>
      </c>
      <c r="K55" s="187">
        <v>2.0642757335817419</v>
      </c>
      <c r="L55" s="188">
        <f t="shared" si="15"/>
        <v>-0.17887584481637964</v>
      </c>
    </row>
    <row r="56" spans="1:13" x14ac:dyDescent="0.25">
      <c r="A56" s="1">
        <v>4</v>
      </c>
      <c r="B56" s="116" t="s">
        <v>82</v>
      </c>
      <c r="C56" s="187">
        <v>2.2903803131991052</v>
      </c>
      <c r="D56" s="188">
        <v>0.26635249151083462</v>
      </c>
      <c r="E56" s="187">
        <v>2.1764973464746018</v>
      </c>
      <c r="F56" s="188">
        <f>IFERROR(E56-C56,"-")</f>
        <v>-0.11388296672450338</v>
      </c>
      <c r="G56" s="187">
        <v>1.9390554298642535</v>
      </c>
      <c r="H56" s="188">
        <f>IFERROR(G56-E56,"-")</f>
        <v>-0.2374419166103483</v>
      </c>
      <c r="I56" s="187">
        <v>2.4042033235581624</v>
      </c>
      <c r="J56" s="188">
        <f>IFERROR(I56-G56,"-")</f>
        <v>0.46514789369390885</v>
      </c>
      <c r="K56" s="187">
        <v>2.0723455671348741</v>
      </c>
      <c r="L56" s="188">
        <f t="shared" si="15"/>
        <v>-0.3318577564232883</v>
      </c>
    </row>
    <row r="57" spans="1:13" x14ac:dyDescent="0.25">
      <c r="A57" s="1">
        <v>5</v>
      </c>
      <c r="B57" s="116" t="s">
        <v>84</v>
      </c>
      <c r="C57" s="187">
        <v>2.3475718694169236</v>
      </c>
      <c r="D57" s="188">
        <v>0.40891063246095527</v>
      </c>
      <c r="E57" s="187">
        <v>2.4189012900420352</v>
      </c>
      <c r="F57" s="188">
        <f t="shared" si="14"/>
        <v>7.1329420625111606E-2</v>
      </c>
      <c r="G57" s="187">
        <v>2.1439621830683282</v>
      </c>
      <c r="H57" s="188">
        <f t="shared" si="14"/>
        <v>-0.27493910697370705</v>
      </c>
      <c r="I57" s="187">
        <v>2.0404564315352696</v>
      </c>
      <c r="J57" s="188">
        <f t="shared" si="15"/>
        <v>-0.10350575153305863</v>
      </c>
      <c r="K57" s="187">
        <v>2.2909289022064834</v>
      </c>
      <c r="L57" s="188">
        <f t="shared" si="15"/>
        <v>0.25047247067121381</v>
      </c>
    </row>
    <row r="58" spans="1:13" x14ac:dyDescent="0.25">
      <c r="A58" s="1">
        <v>6</v>
      </c>
      <c r="B58" s="116" t="s">
        <v>86</v>
      </c>
      <c r="C58" s="187">
        <v>2.1499464476972512</v>
      </c>
      <c r="D58" s="188">
        <v>0.14085347202096132</v>
      </c>
      <c r="E58" s="187">
        <v>2.183712967098407</v>
      </c>
      <c r="F58" s="188">
        <f t="shared" si="14"/>
        <v>3.3766519401155826E-2</v>
      </c>
      <c r="G58" s="187">
        <v>2.0647043224608859</v>
      </c>
      <c r="H58" s="188">
        <f t="shared" si="14"/>
        <v>-0.11900864463752114</v>
      </c>
      <c r="I58" s="187">
        <v>2.0485012221793388</v>
      </c>
      <c r="J58" s="188">
        <f t="shared" si="15"/>
        <v>-1.6203100281547034E-2</v>
      </c>
      <c r="K58" s="187">
        <v>2.1949694472076167</v>
      </c>
      <c r="L58" s="188">
        <f t="shared" si="15"/>
        <v>0.14646822502827783</v>
      </c>
    </row>
    <row r="59" spans="1:13" x14ac:dyDescent="0.25">
      <c r="A59" s="1">
        <v>7</v>
      </c>
      <c r="B59" s="116" t="s">
        <v>88</v>
      </c>
      <c r="C59" s="187">
        <v>2.3532442748091604</v>
      </c>
      <c r="D59" s="188">
        <v>0.12676540156972393</v>
      </c>
      <c r="E59" s="187">
        <v>2.2785112359550563</v>
      </c>
      <c r="F59" s="188">
        <f t="shared" si="14"/>
        <v>-7.4733038854104095E-2</v>
      </c>
      <c r="G59" s="187">
        <v>2.0339616762735631</v>
      </c>
      <c r="H59" s="188">
        <f t="shared" si="14"/>
        <v>-0.24454955968149328</v>
      </c>
      <c r="I59" s="187">
        <v>2.0932064813438385</v>
      </c>
      <c r="J59" s="188">
        <f t="shared" si="15"/>
        <v>5.9244805070275408E-2</v>
      </c>
      <c r="K59" s="187">
        <v>2.2283071230342277</v>
      </c>
      <c r="L59" s="188">
        <f t="shared" si="15"/>
        <v>0.13510064169038927</v>
      </c>
    </row>
    <row r="60" spans="1:13" x14ac:dyDescent="0.25">
      <c r="A60" s="1">
        <v>8</v>
      </c>
      <c r="B60" s="116" t="s">
        <v>90</v>
      </c>
      <c r="C60" s="187">
        <v>2.5090213231273921</v>
      </c>
      <c r="D60" s="188">
        <v>4.1122297088831417E-2</v>
      </c>
      <c r="E60" s="187">
        <v>2.771685761047463</v>
      </c>
      <c r="F60" s="188">
        <f t="shared" si="14"/>
        <v>0.26266443792007088</v>
      </c>
      <c r="G60" s="187">
        <v>2.4482845610494448</v>
      </c>
      <c r="H60" s="188">
        <f t="shared" si="14"/>
        <v>-0.3234011999980182</v>
      </c>
      <c r="I60" s="187">
        <v>3.1525096525096523</v>
      </c>
      <c r="J60" s="188">
        <f t="shared" si="15"/>
        <v>0.70422509146020751</v>
      </c>
      <c r="K60" s="187"/>
      <c r="L60" s="188"/>
    </row>
    <row r="61" spans="1:13" x14ac:dyDescent="0.25">
      <c r="A61" s="1">
        <v>9</v>
      </c>
      <c r="B61" s="116" t="s">
        <v>92</v>
      </c>
      <c r="C61" s="187">
        <v>2.1130181347150261</v>
      </c>
      <c r="D61" s="188">
        <v>-0.11595626890677435</v>
      </c>
      <c r="E61" s="187">
        <v>2.4285934846379496</v>
      </c>
      <c r="F61" s="188">
        <f t="shared" si="14"/>
        <v>0.31557534992292346</v>
      </c>
      <c r="G61" s="187">
        <v>2.1919419822723611</v>
      </c>
      <c r="H61" s="188">
        <f t="shared" si="14"/>
        <v>-0.23665150236558841</v>
      </c>
      <c r="I61" s="187">
        <v>2.2268828732243366</v>
      </c>
      <c r="J61" s="188">
        <f t="shared" si="15"/>
        <v>3.4940890951975501E-2</v>
      </c>
      <c r="K61" s="187"/>
      <c r="L61" s="188"/>
    </row>
    <row r="62" spans="1:13" x14ac:dyDescent="0.25">
      <c r="A62" s="1">
        <v>10</v>
      </c>
      <c r="B62" s="116" t="s">
        <v>94</v>
      </c>
      <c r="C62" s="187">
        <v>2.1841864716636197</v>
      </c>
      <c r="D62" s="188">
        <v>0.14952243354960615</v>
      </c>
      <c r="E62" s="187">
        <v>2.3541991219374028</v>
      </c>
      <c r="F62" s="188">
        <f t="shared" si="14"/>
        <v>0.17001265027378309</v>
      </c>
      <c r="G62" s="187">
        <v>2.0768831842344095</v>
      </c>
      <c r="H62" s="188">
        <f t="shared" si="14"/>
        <v>-0.27731593770299323</v>
      </c>
      <c r="I62" s="187">
        <v>2.5478460238928444</v>
      </c>
      <c r="J62" s="188">
        <f t="shared" si="15"/>
        <v>0.47096283965843488</v>
      </c>
      <c r="K62" s="187"/>
      <c r="L62" s="188"/>
    </row>
    <row r="63" spans="1:13" x14ac:dyDescent="0.25">
      <c r="A63" s="1">
        <v>11</v>
      </c>
      <c r="B63" s="116" t="s">
        <v>96</v>
      </c>
      <c r="C63" s="187">
        <v>2.0410624551328067</v>
      </c>
      <c r="D63" s="188">
        <v>8.4415056288876134E-2</v>
      </c>
      <c r="E63" s="187">
        <v>2.0985071117902905</v>
      </c>
      <c r="F63" s="188">
        <f t="shared" si="14"/>
        <v>5.7444656657483772E-2</v>
      </c>
      <c r="G63" s="187">
        <v>2.198003900424458</v>
      </c>
      <c r="H63" s="188">
        <f t="shared" si="14"/>
        <v>9.9496788634167554E-2</v>
      </c>
      <c r="I63" s="187">
        <v>1.9006354708261122</v>
      </c>
      <c r="J63" s="188">
        <f t="shared" si="15"/>
        <v>-0.29736842959834586</v>
      </c>
      <c r="K63" s="187"/>
      <c r="L63" s="188"/>
    </row>
    <row r="64" spans="1:13" x14ac:dyDescent="0.25">
      <c r="A64" s="1">
        <v>12</v>
      </c>
      <c r="B64" s="116" t="s">
        <v>98</v>
      </c>
      <c r="C64" s="187">
        <v>2.1458837772397095</v>
      </c>
      <c r="D64" s="188">
        <v>-0.31033178653574911</v>
      </c>
      <c r="E64" s="187">
        <v>2.2368119266055047</v>
      </c>
      <c r="F64" s="188">
        <f t="shared" si="14"/>
        <v>9.0928149365795186E-2</v>
      </c>
      <c r="G64" s="187">
        <v>2.2313143242787246</v>
      </c>
      <c r="H64" s="188">
        <f t="shared" si="14"/>
        <v>-5.4976023267800933E-3</v>
      </c>
      <c r="I64" s="187">
        <v>1.9319966583124477</v>
      </c>
      <c r="J64" s="188">
        <f t="shared" si="15"/>
        <v>-0.29931766596627685</v>
      </c>
      <c r="K64" s="187"/>
      <c r="L64" s="188"/>
    </row>
    <row r="65" spans="1:13" ht="15.75" x14ac:dyDescent="0.25">
      <c r="B65" s="119" t="s">
        <v>32</v>
      </c>
      <c r="C65" s="189">
        <v>2.2052106242598546</v>
      </c>
      <c r="D65" s="190">
        <v>5.8221733205479076E-2</v>
      </c>
      <c r="E65" s="189">
        <v>2.259075434286498</v>
      </c>
      <c r="F65" s="190">
        <f t="shared" si="14"/>
        <v>5.386481002664345E-2</v>
      </c>
      <c r="G65" s="189">
        <v>2.1603341584158415</v>
      </c>
      <c r="H65" s="190">
        <f t="shared" si="14"/>
        <v>-9.8741275870656509E-2</v>
      </c>
      <c r="I65" s="189">
        <v>2.1842455351361534</v>
      </c>
      <c r="J65" s="190">
        <f t="shared" si="15"/>
        <v>2.391137672031185E-2</v>
      </c>
      <c r="K65" s="189">
        <v>2.0840183728586354</v>
      </c>
      <c r="L65" s="190">
        <v>-3.3185245614622882E-2</v>
      </c>
    </row>
    <row r="66" spans="1:13" ht="6" customHeight="1" x14ac:dyDescent="0.25"/>
    <row r="67" spans="1:13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70" spans="1:13" ht="48.75" customHeight="1" thickBot="1" x14ac:dyDescent="0.3">
      <c r="B70" s="273" t="s">
        <v>299</v>
      </c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M70" s="1" t="s">
        <v>106</v>
      </c>
    </row>
    <row r="71" spans="1:13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M71" s="1" t="s">
        <v>107</v>
      </c>
    </row>
    <row r="72" spans="1:13" ht="22.5" thickTop="1" thickBot="1" x14ac:dyDescent="0.3">
      <c r="B72" s="112"/>
      <c r="C72" s="298" t="s">
        <v>108</v>
      </c>
      <c r="D72" s="299"/>
      <c r="E72" s="299"/>
      <c r="F72" s="299"/>
      <c r="G72" s="299"/>
      <c r="H72" s="299"/>
      <c r="I72" s="299"/>
      <c r="J72" s="299"/>
      <c r="K72" s="299"/>
      <c r="L72" s="299"/>
    </row>
    <row r="73" spans="1:13" ht="22.5" thickTop="1" thickBot="1" x14ac:dyDescent="0.3">
      <c r="B73" s="112"/>
      <c r="C73" s="303">
        <f t="shared" ref="C73" si="16">E73-1</f>
        <v>2022</v>
      </c>
      <c r="D73" s="301"/>
      <c r="E73" s="300">
        <f t="shared" ref="E73" si="17">G73-1</f>
        <v>2023</v>
      </c>
      <c r="F73" s="301"/>
      <c r="G73" s="300">
        <f t="shared" ref="G73" si="18">I73-1</f>
        <v>2024</v>
      </c>
      <c r="H73" s="301"/>
      <c r="I73" s="300">
        <f>K73-1</f>
        <v>2025</v>
      </c>
      <c r="J73" s="301"/>
      <c r="K73" s="300">
        <v>2026</v>
      </c>
      <c r="L73" s="302"/>
    </row>
    <row r="74" spans="1:13" ht="16.5" thickTop="1" thickBot="1" x14ac:dyDescent="0.3">
      <c r="B74" s="87"/>
      <c r="C74" s="113" t="s">
        <v>74</v>
      </c>
      <c r="D74" s="114" t="str">
        <f>CONCATENATE("dif ",RIGHT(C73,2),"/",RIGHT(C73-1,2))</f>
        <v>dif 22/21</v>
      </c>
      <c r="E74" s="115" t="s">
        <v>74</v>
      </c>
      <c r="F74" s="114" t="str">
        <f>CONCATENATE("dif ",RIGHT(E73,2),"/",RIGHT(C73,2))</f>
        <v>dif 23/22</v>
      </c>
      <c r="G74" s="115" t="s">
        <v>74</v>
      </c>
      <c r="H74" s="114" t="str">
        <f>CONCATENATE("dif ",RIGHT(G73,2),"/",RIGHT(E73,2))</f>
        <v>dif 24/23</v>
      </c>
      <c r="I74" s="115" t="s">
        <v>74</v>
      </c>
      <c r="J74" s="114" t="str">
        <f>CONCATENATE("dif ",RIGHT(I73,2),"/",RIGHT(G73,2))</f>
        <v>dif 25/24</v>
      </c>
      <c r="K74" s="115" t="s">
        <v>74</v>
      </c>
      <c r="L74" s="114" t="str">
        <f>CONCATENATE("dif ",RIGHT(K73,2),"/",RIGHT(I73,2))</f>
        <v>dif 26/25</v>
      </c>
    </row>
    <row r="75" spans="1:13" x14ac:dyDescent="0.25">
      <c r="A75" s="1">
        <v>1</v>
      </c>
      <c r="B75" s="116" t="s">
        <v>76</v>
      </c>
      <c r="C75" s="187">
        <v>2.0681475903614457</v>
      </c>
      <c r="D75" s="188">
        <v>0.62969902375099029</v>
      </c>
      <c r="E75" s="187">
        <v>1.9696121551379449</v>
      </c>
      <c r="F75" s="188">
        <f t="shared" ref="F75:H77" si="19">IFERROR(E75-C75,"-")</f>
        <v>-9.8535435223500834E-2</v>
      </c>
      <c r="G75" s="187">
        <v>1.8939678563974118</v>
      </c>
      <c r="H75" s="188">
        <f t="shared" si="19"/>
        <v>-7.5644298740533022E-2</v>
      </c>
      <c r="I75" s="187">
        <v>1.6884072786751176</v>
      </c>
      <c r="J75" s="188">
        <f t="shared" ref="J75:J77" si="20">IFERROR(I75-G75,"-")</f>
        <v>-0.20556057772229419</v>
      </c>
      <c r="K75" s="187">
        <v>1.7375122428991185</v>
      </c>
      <c r="L75" s="188">
        <f t="shared" ref="L75:L81" si="21">IFERROR(K75-I75,"-")</f>
        <v>4.9104964224000902E-2</v>
      </c>
    </row>
    <row r="76" spans="1:13" x14ac:dyDescent="0.25">
      <c r="A76" s="1">
        <v>2</v>
      </c>
      <c r="B76" s="116" t="s">
        <v>78</v>
      </c>
      <c r="C76" s="187">
        <v>1.8160718742201147</v>
      </c>
      <c r="D76" s="188">
        <v>0.32511220801705498</v>
      </c>
      <c r="E76" s="187">
        <v>1.7307555870876197</v>
      </c>
      <c r="F76" s="188">
        <f t="shared" si="19"/>
        <v>-8.5316287132495061E-2</v>
      </c>
      <c r="G76" s="187">
        <v>1.7482043096568236</v>
      </c>
      <c r="H76" s="188">
        <f t="shared" si="19"/>
        <v>1.7448722569203934E-2</v>
      </c>
      <c r="I76" s="187">
        <v>1.5848778087584057</v>
      </c>
      <c r="J76" s="188">
        <f t="shared" si="20"/>
        <v>-0.16332650089841794</v>
      </c>
      <c r="K76" s="187">
        <v>1.7552662375658279</v>
      </c>
      <c r="L76" s="188">
        <f t="shared" si="21"/>
        <v>0.17038842880742222</v>
      </c>
    </row>
    <row r="77" spans="1:13" x14ac:dyDescent="0.25">
      <c r="A77" s="1">
        <v>3</v>
      </c>
      <c r="B77" s="116" t="s">
        <v>80</v>
      </c>
      <c r="C77" s="187">
        <v>1.8286639984753192</v>
      </c>
      <c r="D77" s="188">
        <v>-4.0936296190963173E-3</v>
      </c>
      <c r="E77" s="187">
        <v>1.8321178972956549</v>
      </c>
      <c r="F77" s="188">
        <f t="shared" si="19"/>
        <v>3.4538988203356435E-3</v>
      </c>
      <c r="G77" s="187">
        <v>1.8155503197576575</v>
      </c>
      <c r="H77" s="188">
        <f t="shared" si="19"/>
        <v>-1.6567577537997424E-2</v>
      </c>
      <c r="I77" s="187">
        <v>1.723420260782347</v>
      </c>
      <c r="J77" s="188">
        <f t="shared" si="20"/>
        <v>-9.2130058975310458E-2</v>
      </c>
      <c r="K77" s="187">
        <v>1.6608115468409586</v>
      </c>
      <c r="L77" s="188">
        <f t="shared" si="21"/>
        <v>-6.260871394138845E-2</v>
      </c>
    </row>
    <row r="78" spans="1:13" x14ac:dyDescent="0.25">
      <c r="A78" s="1">
        <v>4</v>
      </c>
      <c r="B78" s="116" t="s">
        <v>82</v>
      </c>
      <c r="C78" s="187">
        <v>1.8968394031766405</v>
      </c>
      <c r="D78" s="188">
        <v>0.21996643900725932</v>
      </c>
      <c r="E78" s="187">
        <v>1.8962114537444934</v>
      </c>
      <c r="F78" s="188">
        <f>IFERROR(E78-C78,"-")</f>
        <v>-6.279494321470569E-4</v>
      </c>
      <c r="G78" s="187">
        <v>1.9039915966386554</v>
      </c>
      <c r="H78" s="188">
        <f>IFERROR(G78-E78,"-")</f>
        <v>7.7801428941619566E-3</v>
      </c>
      <c r="I78" s="187">
        <v>1.7884216760438258</v>
      </c>
      <c r="J78" s="188">
        <f>IFERROR(I78-G78,"-")</f>
        <v>-0.11556992059482951</v>
      </c>
      <c r="K78" s="187">
        <v>1.7774628879892038</v>
      </c>
      <c r="L78" s="188">
        <f t="shared" si="21"/>
        <v>-1.0958788054622026E-2</v>
      </c>
    </row>
    <row r="79" spans="1:13" x14ac:dyDescent="0.25">
      <c r="A79" s="1">
        <v>5</v>
      </c>
      <c r="B79" s="116" t="s">
        <v>84</v>
      </c>
      <c r="C79" s="187">
        <v>1.801950030469226</v>
      </c>
      <c r="D79" s="188">
        <v>0.16791197550093839</v>
      </c>
      <c r="E79" s="187">
        <v>1.8243863816310373</v>
      </c>
      <c r="F79" s="188">
        <f t="shared" ref="F79:H87" si="22">IFERROR(E79-C79,"-")</f>
        <v>2.2436351161811308E-2</v>
      </c>
      <c r="G79" s="187">
        <v>1.7250264737027885</v>
      </c>
      <c r="H79" s="188">
        <f t="shared" si="22"/>
        <v>-9.9359907928248781E-2</v>
      </c>
      <c r="I79" s="187">
        <v>1.5991301580566457</v>
      </c>
      <c r="J79" s="188">
        <f t="shared" ref="J79:J87" si="23">IFERROR(I79-G79,"-")</f>
        <v>-0.12589631564614279</v>
      </c>
      <c r="K79" s="187">
        <v>1.7495934959349593</v>
      </c>
      <c r="L79" s="188">
        <f t="shared" si="21"/>
        <v>0.15046333787831356</v>
      </c>
    </row>
    <row r="80" spans="1:13" x14ac:dyDescent="0.25">
      <c r="A80" s="1">
        <v>6</v>
      </c>
      <c r="B80" s="116" t="s">
        <v>86</v>
      </c>
      <c r="C80" s="187">
        <v>1.8010871162039077</v>
      </c>
      <c r="D80" s="188">
        <v>6.1901595841916679E-2</v>
      </c>
      <c r="E80" s="187">
        <v>1.7645298472200346</v>
      </c>
      <c r="F80" s="188">
        <f t="shared" si="22"/>
        <v>-3.6557268983873126E-2</v>
      </c>
      <c r="G80" s="187">
        <v>1.7241238238101733</v>
      </c>
      <c r="H80" s="188">
        <f t="shared" si="22"/>
        <v>-4.0406023409861325E-2</v>
      </c>
      <c r="I80" s="187">
        <v>1.7110911338352623</v>
      </c>
      <c r="J80" s="188">
        <f t="shared" si="23"/>
        <v>-1.3032689974910916E-2</v>
      </c>
      <c r="K80" s="187">
        <v>1.6627949627093777</v>
      </c>
      <c r="L80" s="188">
        <f t="shared" si="21"/>
        <v>-4.829617112588469E-2</v>
      </c>
    </row>
    <row r="81" spans="1:13" x14ac:dyDescent="0.25">
      <c r="A81" s="1">
        <v>7</v>
      </c>
      <c r="B81" s="116" t="s">
        <v>88</v>
      </c>
      <c r="C81" s="187">
        <v>1.8192175703500344</v>
      </c>
      <c r="D81" s="188">
        <v>-6.8898875446185448E-2</v>
      </c>
      <c r="E81" s="187">
        <v>1.8230383973288815</v>
      </c>
      <c r="F81" s="188">
        <f t="shared" si="22"/>
        <v>3.8208269788471139E-3</v>
      </c>
      <c r="G81" s="187">
        <v>1.72433691030573</v>
      </c>
      <c r="H81" s="188">
        <f t="shared" si="22"/>
        <v>-9.8701487023151513E-2</v>
      </c>
      <c r="I81" s="187">
        <v>1.6479162940439993</v>
      </c>
      <c r="J81" s="188">
        <f t="shared" si="23"/>
        <v>-7.6420616261730689E-2</v>
      </c>
      <c r="K81" s="187">
        <v>1.7402436870916476</v>
      </c>
      <c r="L81" s="188">
        <f t="shared" si="21"/>
        <v>9.2327393047648254E-2</v>
      </c>
    </row>
    <row r="82" spans="1:13" x14ac:dyDescent="0.25">
      <c r="A82" s="1">
        <v>8</v>
      </c>
      <c r="B82" s="116" t="s">
        <v>90</v>
      </c>
      <c r="C82" s="187">
        <v>2.2545941807044412</v>
      </c>
      <c r="D82" s="188">
        <v>-6.6542073508365718E-2</v>
      </c>
      <c r="E82" s="187">
        <v>2.1911540416878497</v>
      </c>
      <c r="F82" s="188">
        <f t="shared" si="22"/>
        <v>-6.3440139016591512E-2</v>
      </c>
      <c r="G82" s="187">
        <v>2.2463008053942688</v>
      </c>
      <c r="H82" s="188">
        <f t="shared" si="22"/>
        <v>5.5146763706419133E-2</v>
      </c>
      <c r="I82" s="187">
        <v>2.1190794357832221</v>
      </c>
      <c r="J82" s="188">
        <f t="shared" si="23"/>
        <v>-0.12722136961104669</v>
      </c>
      <c r="K82" s="187"/>
      <c r="L82" s="188"/>
    </row>
    <row r="83" spans="1:13" x14ac:dyDescent="0.25">
      <c r="A83" s="1">
        <v>9</v>
      </c>
      <c r="B83" s="116" t="s">
        <v>92</v>
      </c>
      <c r="C83" s="187">
        <v>1.7204848122100853</v>
      </c>
      <c r="D83" s="188">
        <v>-0.11178535664544942</v>
      </c>
      <c r="E83" s="187">
        <v>1.5222429133043658</v>
      </c>
      <c r="F83" s="188">
        <f t="shared" si="22"/>
        <v>-0.19824189890571953</v>
      </c>
      <c r="G83" s="187">
        <v>1.6637069922308545</v>
      </c>
      <c r="H83" s="188">
        <f t="shared" si="22"/>
        <v>0.14146407892648871</v>
      </c>
      <c r="I83" s="187">
        <v>1.6357151493168904</v>
      </c>
      <c r="J83" s="188">
        <f t="shared" si="23"/>
        <v>-2.799184291396406E-2</v>
      </c>
      <c r="K83" s="187"/>
      <c r="L83" s="188"/>
    </row>
    <row r="84" spans="1:13" x14ac:dyDescent="0.25">
      <c r="A84" s="1">
        <v>10</v>
      </c>
      <c r="B84" s="116" t="s">
        <v>94</v>
      </c>
      <c r="C84" s="187">
        <v>1.7998181542657978</v>
      </c>
      <c r="D84" s="188">
        <v>2.5752555486240336E-2</v>
      </c>
      <c r="E84" s="187">
        <v>1.7158382843066222</v>
      </c>
      <c r="F84" s="188">
        <f t="shared" si="22"/>
        <v>-8.3979869959175613E-2</v>
      </c>
      <c r="G84" s="187">
        <v>1.6581043409000398</v>
      </c>
      <c r="H84" s="188">
        <f t="shared" si="22"/>
        <v>-5.7733943406582444E-2</v>
      </c>
      <c r="I84" s="187">
        <v>1.6139375295787979</v>
      </c>
      <c r="J84" s="188">
        <f t="shared" si="23"/>
        <v>-4.4166811321241894E-2</v>
      </c>
      <c r="K84" s="187"/>
      <c r="L84" s="188"/>
    </row>
    <row r="85" spans="1:13" x14ac:dyDescent="0.25">
      <c r="A85" s="1">
        <v>11</v>
      </c>
      <c r="B85" s="116" t="s">
        <v>96</v>
      </c>
      <c r="C85" s="187">
        <v>1.7077103488712988</v>
      </c>
      <c r="D85" s="188">
        <v>2.4340454057976135E-3</v>
      </c>
      <c r="E85" s="187">
        <v>1.714148033924441</v>
      </c>
      <c r="F85" s="188">
        <f t="shared" si="22"/>
        <v>6.4376850531422392E-3</v>
      </c>
      <c r="G85" s="187">
        <v>1.6174845628859278</v>
      </c>
      <c r="H85" s="188">
        <f t="shared" si="22"/>
        <v>-9.6663471038513249E-2</v>
      </c>
      <c r="I85" s="187">
        <v>1.5619347766511373</v>
      </c>
      <c r="J85" s="188">
        <f t="shared" si="23"/>
        <v>-5.5549786234790455E-2</v>
      </c>
      <c r="K85" s="187"/>
      <c r="L85" s="188"/>
    </row>
    <row r="86" spans="1:13" x14ac:dyDescent="0.25">
      <c r="A86" s="1">
        <v>12</v>
      </c>
      <c r="B86" s="116" t="s">
        <v>98</v>
      </c>
      <c r="C86" s="187">
        <v>1.7823283373997909</v>
      </c>
      <c r="D86" s="188">
        <v>-0.34736645892188212</v>
      </c>
      <c r="E86" s="187">
        <v>2.0082422848380297</v>
      </c>
      <c r="F86" s="188">
        <f t="shared" si="22"/>
        <v>0.22591394743823878</v>
      </c>
      <c r="G86" s="187">
        <v>1.6460595934280144</v>
      </c>
      <c r="H86" s="188">
        <f t="shared" si="22"/>
        <v>-0.36218269141001525</v>
      </c>
      <c r="I86" s="187">
        <v>1.700668449197861</v>
      </c>
      <c r="J86" s="188">
        <f t="shared" si="23"/>
        <v>5.4608855769846532E-2</v>
      </c>
      <c r="K86" s="187"/>
      <c r="L86" s="188"/>
    </row>
    <row r="87" spans="1:13" ht="15.75" x14ac:dyDescent="0.25">
      <c r="B87" s="119" t="s">
        <v>32</v>
      </c>
      <c r="C87" s="189">
        <v>1.8401059185572175</v>
      </c>
      <c r="D87" s="190">
        <v>2.8379436314086348E-2</v>
      </c>
      <c r="E87" s="189">
        <v>1.8227527042148453</v>
      </c>
      <c r="F87" s="190">
        <f t="shared" si="22"/>
        <v>-1.7353214342372247E-2</v>
      </c>
      <c r="G87" s="189">
        <v>1.7652284939086025</v>
      </c>
      <c r="H87" s="190">
        <f t="shared" si="22"/>
        <v>-5.7524210306242773E-2</v>
      </c>
      <c r="I87" s="189">
        <v>1.6909225139628941</v>
      </c>
      <c r="J87" s="190">
        <f t="shared" si="23"/>
        <v>-7.4305979945708422E-2</v>
      </c>
      <c r="K87" s="189">
        <v>1.7261119965227469</v>
      </c>
      <c r="L87" s="190">
        <v>5.1628963168891762E-2</v>
      </c>
    </row>
    <row r="88" spans="1:13" ht="6" customHeight="1" x14ac:dyDescent="0.25"/>
    <row r="89" spans="1:13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  <row r="92" spans="1:13" ht="48.75" customHeight="1" thickBot="1" x14ac:dyDescent="0.3">
      <c r="B92" s="273" t="s">
        <v>300</v>
      </c>
      <c r="C92" s="273"/>
      <c r="D92" s="273"/>
      <c r="E92" s="273"/>
      <c r="F92" s="273"/>
      <c r="G92" s="273"/>
      <c r="H92" s="273"/>
      <c r="I92" s="273"/>
      <c r="J92" s="273"/>
      <c r="K92" s="273"/>
      <c r="L92" s="273"/>
      <c r="M92" s="1" t="s">
        <v>109</v>
      </c>
    </row>
    <row r="93" spans="1:13" ht="10.5" customHeight="1" thickBot="1" x14ac:dyDescent="0.3">
      <c r="B93" s="109"/>
      <c r="C93" s="110"/>
      <c r="D93" s="109"/>
      <c r="E93" s="109"/>
      <c r="F93" s="109"/>
      <c r="G93" s="109"/>
      <c r="H93" s="109"/>
      <c r="I93" s="109"/>
      <c r="J93" s="109"/>
      <c r="K93" s="4"/>
      <c r="L93" s="4"/>
      <c r="M93" s="1" t="s">
        <v>110</v>
      </c>
    </row>
    <row r="94" spans="1:13" ht="22.5" thickTop="1" thickBot="1" x14ac:dyDescent="0.3">
      <c r="B94" s="123" t="s">
        <v>111</v>
      </c>
      <c r="C94" s="298" t="s">
        <v>112</v>
      </c>
      <c r="D94" s="299"/>
      <c r="E94" s="299"/>
      <c r="F94" s="299"/>
      <c r="G94" s="299"/>
      <c r="H94" s="299"/>
      <c r="I94" s="299"/>
      <c r="J94" s="299"/>
      <c r="K94" s="299"/>
      <c r="L94" s="299"/>
    </row>
    <row r="95" spans="1:13" ht="22.5" thickTop="1" thickBot="1" x14ac:dyDescent="0.3">
      <c r="B95" s="112"/>
      <c r="C95" s="303">
        <f t="shared" ref="C95" si="24">E95-1</f>
        <v>2022</v>
      </c>
      <c r="D95" s="301"/>
      <c r="E95" s="300">
        <f t="shared" ref="E95" si="25">G95-1</f>
        <v>2023</v>
      </c>
      <c r="F95" s="301"/>
      <c r="G95" s="300">
        <f t="shared" ref="G95" si="26">I95-1</f>
        <v>2024</v>
      </c>
      <c r="H95" s="301"/>
      <c r="I95" s="300">
        <f>K95-1</f>
        <v>2025</v>
      </c>
      <c r="J95" s="301"/>
      <c r="K95" s="300">
        <v>2026</v>
      </c>
      <c r="L95" s="302"/>
    </row>
    <row r="96" spans="1:13" ht="16.5" thickTop="1" thickBot="1" x14ac:dyDescent="0.3">
      <c r="B96" s="87"/>
      <c r="C96" s="113" t="s">
        <v>74</v>
      </c>
      <c r="D96" s="114" t="str">
        <f>CONCATENATE("dif ",RIGHT(C95,2),"/",RIGHT(C95-1,2))</f>
        <v>dif 22/21</v>
      </c>
      <c r="E96" s="115" t="s">
        <v>74</v>
      </c>
      <c r="F96" s="114" t="str">
        <f>CONCATENATE("dif ",RIGHT(E95,2),"/",RIGHT(C95,2))</f>
        <v>dif 23/22</v>
      </c>
      <c r="G96" s="115" t="s">
        <v>74</v>
      </c>
      <c r="H96" s="114" t="str">
        <f>CONCATENATE("dif ",RIGHT(G95,2),"/",RIGHT(E95,2))</f>
        <v>dif 24/23</v>
      </c>
      <c r="I96" s="115" t="s">
        <v>74</v>
      </c>
      <c r="J96" s="114" t="str">
        <f>CONCATENATE("dif ",RIGHT(I95,2),"/",RIGHT(G95,2))</f>
        <v>dif 25/24</v>
      </c>
      <c r="K96" s="115" t="s">
        <v>74</v>
      </c>
      <c r="L96" s="114" t="str">
        <f>CONCATENATE("dif ",RIGHT(K95,2),"/",RIGHT(I95,2))</f>
        <v>dif 26/25</v>
      </c>
    </row>
    <row r="97" spans="2:12" x14ac:dyDescent="0.25">
      <c r="B97" s="116" t="s">
        <v>76</v>
      </c>
      <c r="C97" s="187">
        <v>2.0474873213462423</v>
      </c>
      <c r="D97" s="188">
        <v>-0.56018640589270241</v>
      </c>
      <c r="E97" s="187">
        <v>2.883788097590636</v>
      </c>
      <c r="F97" s="188">
        <f t="shared" ref="F97:H99" si="27">IFERROR(E97-C97,"-")</f>
        <v>0.8363007762443937</v>
      </c>
      <c r="G97" s="187">
        <v>3.1189471070275641</v>
      </c>
      <c r="H97" s="188">
        <f t="shared" si="27"/>
        <v>0.23515900943692802</v>
      </c>
      <c r="I97" s="187">
        <v>2.6767302538231119</v>
      </c>
      <c r="J97" s="188">
        <f t="shared" ref="J97:J99" si="28">IFERROR(I97-G97,"-")</f>
        <v>-0.44221685320445214</v>
      </c>
      <c r="K97" s="187">
        <v>2.5023995612230907</v>
      </c>
      <c r="L97" s="188">
        <f t="shared" ref="L97:L103" si="29">IFERROR(K97-I97,"-")</f>
        <v>-0.17433069260002121</v>
      </c>
    </row>
    <row r="98" spans="2:12" x14ac:dyDescent="0.25">
      <c r="B98" s="116" t="s">
        <v>78</v>
      </c>
      <c r="C98" s="187">
        <v>1.9387617765814267</v>
      </c>
      <c r="D98" s="188">
        <v>-0.61459188195515857</v>
      </c>
      <c r="E98" s="187">
        <v>2.6695660306771418</v>
      </c>
      <c r="F98" s="188">
        <f t="shared" si="27"/>
        <v>0.73080425409571514</v>
      </c>
      <c r="G98" s="187">
        <v>2.9329920893438808</v>
      </c>
      <c r="H98" s="188">
        <f t="shared" si="27"/>
        <v>0.26342605866673896</v>
      </c>
      <c r="I98" s="187">
        <v>2.5131739661490142</v>
      </c>
      <c r="J98" s="188">
        <f t="shared" si="28"/>
        <v>-0.41981812319486655</v>
      </c>
      <c r="K98" s="187">
        <v>2.3571153698145153</v>
      </c>
      <c r="L98" s="188">
        <f t="shared" si="29"/>
        <v>-0.15605859633449892</v>
      </c>
    </row>
    <row r="99" spans="2:12" x14ac:dyDescent="0.25">
      <c r="B99" s="116" t="s">
        <v>80</v>
      </c>
      <c r="C99" s="187">
        <v>2.4245351364404732</v>
      </c>
      <c r="D99" s="188">
        <v>-0.26548237669437791</v>
      </c>
      <c r="E99" s="187">
        <v>2.8801306922605678</v>
      </c>
      <c r="F99" s="188">
        <f t="shared" si="27"/>
        <v>0.45559555582009459</v>
      </c>
      <c r="G99" s="187">
        <v>3.2440007867820615</v>
      </c>
      <c r="H99" s="188">
        <f t="shared" si="27"/>
        <v>0.36387009452149366</v>
      </c>
      <c r="I99" s="187">
        <v>2.2960590694778045</v>
      </c>
      <c r="J99" s="188">
        <f t="shared" si="28"/>
        <v>-0.94794171730425703</v>
      </c>
      <c r="K99" s="187">
        <v>2.5069282136894824</v>
      </c>
      <c r="L99" s="188">
        <f t="shared" si="29"/>
        <v>0.21086914421167791</v>
      </c>
    </row>
    <row r="100" spans="2:12" x14ac:dyDescent="0.25">
      <c r="B100" s="116" t="s">
        <v>82</v>
      </c>
      <c r="C100" s="187">
        <v>2.3802021403091556</v>
      </c>
      <c r="D100" s="188" t="s">
        <v>239</v>
      </c>
      <c r="E100" s="187">
        <v>2.5569436374201047</v>
      </c>
      <c r="F100" s="188">
        <f>IFERROR(E100-C100,"-")</f>
        <v>0.17674149711094911</v>
      </c>
      <c r="G100" s="187">
        <v>3.2453800194525497</v>
      </c>
      <c r="H100" s="188">
        <f>IFERROR(G100-E100,"-")</f>
        <v>0.68843638203244506</v>
      </c>
      <c r="I100" s="187">
        <v>2.5470182046453234</v>
      </c>
      <c r="J100" s="188">
        <f>IFERROR(I100-G100,"-")</f>
        <v>-0.69836181480722637</v>
      </c>
      <c r="K100" s="187">
        <v>2.4853723404255321</v>
      </c>
      <c r="L100" s="188">
        <f t="shared" si="29"/>
        <v>-6.1645864219791235E-2</v>
      </c>
    </row>
    <row r="101" spans="2:12" x14ac:dyDescent="0.25">
      <c r="B101" s="116" t="s">
        <v>84</v>
      </c>
      <c r="C101" s="187">
        <v>2.2334019557385485</v>
      </c>
      <c r="D101" s="188" t="s">
        <v>239</v>
      </c>
      <c r="E101" s="187">
        <v>3.0859224341118492</v>
      </c>
      <c r="F101" s="188">
        <f t="shared" ref="F101:H109" si="30">IFERROR(E101-C101,"-")</f>
        <v>0.85252047837330069</v>
      </c>
      <c r="G101" s="187">
        <v>2.832846410684474</v>
      </c>
      <c r="H101" s="188">
        <f t="shared" si="30"/>
        <v>-0.25307602342737523</v>
      </c>
      <c r="I101" s="187">
        <v>2.6949461777047983</v>
      </c>
      <c r="J101" s="188">
        <f t="shared" ref="J101:J109" si="31">IFERROR(I101-G101,"-")</f>
        <v>-0.13790023297967569</v>
      </c>
      <c r="K101" s="187">
        <v>3.1050967996839196</v>
      </c>
      <c r="L101" s="188">
        <f t="shared" si="29"/>
        <v>0.41015062197912133</v>
      </c>
    </row>
    <row r="102" spans="2:12" x14ac:dyDescent="0.25">
      <c r="B102" s="116" t="s">
        <v>86</v>
      </c>
      <c r="C102" s="187">
        <v>2.3079900470002763</v>
      </c>
      <c r="D102" s="188" t="s">
        <v>239</v>
      </c>
      <c r="E102" s="187">
        <v>2.596705308114704</v>
      </c>
      <c r="F102" s="188">
        <f t="shared" si="30"/>
        <v>0.28871526111442769</v>
      </c>
      <c r="G102" s="187">
        <v>2.5758036490008687</v>
      </c>
      <c r="H102" s="188">
        <f t="shared" si="30"/>
        <v>-2.0901659113835347E-2</v>
      </c>
      <c r="I102" s="187">
        <v>2.7010235658176627</v>
      </c>
      <c r="J102" s="188">
        <f t="shared" si="31"/>
        <v>0.12521991681679401</v>
      </c>
      <c r="K102" s="187">
        <v>2.864261614326499</v>
      </c>
      <c r="L102" s="188">
        <f t="shared" si="29"/>
        <v>0.16323804850883628</v>
      </c>
    </row>
    <row r="103" spans="2:12" x14ac:dyDescent="0.25">
      <c r="B103" s="116" t="s">
        <v>88</v>
      </c>
      <c r="C103" s="187">
        <v>2.3885906040268456</v>
      </c>
      <c r="D103" s="188" t="s">
        <v>239</v>
      </c>
      <c r="E103" s="187">
        <v>3.0063049293083686</v>
      </c>
      <c r="F103" s="188">
        <f t="shared" si="30"/>
        <v>0.61771432528152292</v>
      </c>
      <c r="G103" s="187">
        <v>2.8402999062792875</v>
      </c>
      <c r="H103" s="188">
        <f t="shared" si="30"/>
        <v>-0.16600502302908104</v>
      </c>
      <c r="I103" s="187">
        <v>2.9056002682763244</v>
      </c>
      <c r="J103" s="188">
        <f t="shared" si="31"/>
        <v>6.5300361997036926E-2</v>
      </c>
      <c r="K103" s="187">
        <v>3.0520015698587128</v>
      </c>
      <c r="L103" s="188">
        <f t="shared" si="29"/>
        <v>0.1464013015823884</v>
      </c>
    </row>
    <row r="104" spans="2:12" x14ac:dyDescent="0.25">
      <c r="B104" s="116" t="s">
        <v>90</v>
      </c>
      <c r="C104" s="187">
        <v>2.9732067510548523</v>
      </c>
      <c r="D104" s="188">
        <v>0.81686000182884611</v>
      </c>
      <c r="E104" s="187">
        <v>3.4362339977313239</v>
      </c>
      <c r="F104" s="188">
        <f t="shared" si="30"/>
        <v>0.46302724667647155</v>
      </c>
      <c r="G104" s="187">
        <v>3.5430654459138693</v>
      </c>
      <c r="H104" s="188">
        <f t="shared" si="30"/>
        <v>0.10683144818254542</v>
      </c>
      <c r="I104" s="187">
        <v>3.5911330049261085</v>
      </c>
      <c r="J104" s="188">
        <f t="shared" si="31"/>
        <v>4.8067559012239247E-2</v>
      </c>
      <c r="K104" s="187"/>
      <c r="L104" s="188"/>
    </row>
    <row r="105" spans="2:12" x14ac:dyDescent="0.25">
      <c r="B105" s="116" t="s">
        <v>92</v>
      </c>
      <c r="C105" s="187">
        <v>2.5249999999999999</v>
      </c>
      <c r="D105" s="188">
        <v>0.47691011235955028</v>
      </c>
      <c r="E105" s="187">
        <v>3.6911096690460741</v>
      </c>
      <c r="F105" s="188">
        <f t="shared" si="30"/>
        <v>1.1661096690460742</v>
      </c>
      <c r="G105" s="187">
        <v>3.0518715561466845</v>
      </c>
      <c r="H105" s="188">
        <f t="shared" si="30"/>
        <v>-0.63923811289938959</v>
      </c>
      <c r="I105" s="187">
        <v>2.8871153529702154</v>
      </c>
      <c r="J105" s="188">
        <f t="shared" si="31"/>
        <v>-0.16475620317646911</v>
      </c>
      <c r="K105" s="187"/>
      <c r="L105" s="188"/>
    </row>
    <row r="106" spans="2:12" x14ac:dyDescent="0.25">
      <c r="B106" s="116" t="s">
        <v>94</v>
      </c>
      <c r="C106" s="187">
        <v>2.6516457126712814</v>
      </c>
      <c r="D106" s="188">
        <v>0.6570720692604286</v>
      </c>
      <c r="E106" s="187">
        <v>3.1644666970110755</v>
      </c>
      <c r="F106" s="188">
        <f t="shared" si="30"/>
        <v>0.51282098433979417</v>
      </c>
      <c r="G106" s="187">
        <v>2.8442896092093304</v>
      </c>
      <c r="H106" s="188">
        <f t="shared" si="30"/>
        <v>-0.32017708780174514</v>
      </c>
      <c r="I106" s="187">
        <v>2.6849935316946958</v>
      </c>
      <c r="J106" s="188">
        <f t="shared" si="31"/>
        <v>-0.15929607751463459</v>
      </c>
      <c r="K106" s="187"/>
      <c r="L106" s="188"/>
    </row>
    <row r="107" spans="2:12" x14ac:dyDescent="0.25">
      <c r="B107" s="116" t="s">
        <v>96</v>
      </c>
      <c r="C107" s="187">
        <v>2.6218398130444021</v>
      </c>
      <c r="D107" s="188">
        <v>0.59425099974130324</v>
      </c>
      <c r="E107" s="187">
        <v>2.9328118732450861</v>
      </c>
      <c r="F107" s="188">
        <f t="shared" si="30"/>
        <v>0.31097206020068402</v>
      </c>
      <c r="G107" s="187">
        <v>2.355100841981594</v>
      </c>
      <c r="H107" s="188">
        <f t="shared" si="30"/>
        <v>-0.5777110312634921</v>
      </c>
      <c r="I107" s="187">
        <v>2.2949812495013164</v>
      </c>
      <c r="J107" s="188">
        <f t="shared" si="31"/>
        <v>-6.0119592480277539E-2</v>
      </c>
      <c r="K107" s="187"/>
      <c r="L107" s="188"/>
    </row>
    <row r="108" spans="2:12" x14ac:dyDescent="0.25">
      <c r="B108" s="116" t="s">
        <v>98</v>
      </c>
      <c r="C108" s="187">
        <v>3.0066280033140016</v>
      </c>
      <c r="D108" s="188">
        <v>0.79843951354961362</v>
      </c>
      <c r="E108" s="187">
        <v>3.0554897314375986</v>
      </c>
      <c r="F108" s="188">
        <f t="shared" si="30"/>
        <v>4.8861728123597015E-2</v>
      </c>
      <c r="G108" s="187">
        <v>2.6187499999999999</v>
      </c>
      <c r="H108" s="188">
        <f t="shared" si="30"/>
        <v>-0.4367397314375987</v>
      </c>
      <c r="I108" s="187">
        <v>2.4013941102756893</v>
      </c>
      <c r="J108" s="188">
        <f t="shared" si="31"/>
        <v>-0.21735588972431064</v>
      </c>
      <c r="K108" s="187"/>
      <c r="L108" s="188"/>
    </row>
    <row r="109" spans="2:12" ht="15.75" x14ac:dyDescent="0.25">
      <c r="B109" s="119" t="s">
        <v>32</v>
      </c>
      <c r="C109" s="189">
        <v>2.5550325790187771</v>
      </c>
      <c r="D109" s="190">
        <v>0.16831187333275954</v>
      </c>
      <c r="E109" s="189">
        <v>2.9572121081546912</v>
      </c>
      <c r="F109" s="190">
        <f t="shared" si="30"/>
        <v>0.40217952913591404</v>
      </c>
      <c r="G109" s="189">
        <v>2.9240301210561435</v>
      </c>
      <c r="H109" s="190">
        <f t="shared" si="30"/>
        <v>-3.3181987098547694E-2</v>
      </c>
      <c r="I109" s="189">
        <v>2.6094646730263538</v>
      </c>
      <c r="J109" s="190">
        <f t="shared" si="31"/>
        <v>-0.3145654480297897</v>
      </c>
      <c r="K109" s="189">
        <v>2.5864140332939258</v>
      </c>
      <c r="L109" s="190">
        <v>4.9394570227394574E-3</v>
      </c>
    </row>
    <row r="110" spans="2:12" ht="6" customHeight="1" x14ac:dyDescent="0.25"/>
    <row r="111" spans="2:12" x14ac:dyDescent="0.25">
      <c r="B111" s="107" t="s">
        <v>57</v>
      </c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</row>
    <row r="114" spans="1:13" ht="48.75" customHeight="1" thickBot="1" x14ac:dyDescent="0.3">
      <c r="B114" s="273" t="s">
        <v>301</v>
      </c>
      <c r="C114" s="273"/>
      <c r="D114" s="273"/>
      <c r="E114" s="273"/>
      <c r="F114" s="273"/>
      <c r="G114" s="273"/>
      <c r="H114" s="273"/>
      <c r="I114" s="273"/>
      <c r="J114" s="273"/>
      <c r="K114" s="273"/>
      <c r="L114" s="273"/>
      <c r="M114" s="1" t="s">
        <v>113</v>
      </c>
    </row>
    <row r="115" spans="1:13" ht="10.5" customHeight="1" thickBot="1" x14ac:dyDescent="0.3">
      <c r="B115" s="109"/>
      <c r="C115" s="110"/>
      <c r="D115" s="109"/>
      <c r="E115" s="109"/>
      <c r="F115" s="109"/>
      <c r="G115" s="109"/>
      <c r="H115" s="109"/>
      <c r="I115" s="109"/>
      <c r="J115" s="109"/>
      <c r="K115" s="4"/>
      <c r="L115" s="4"/>
      <c r="M115" s="1" t="s">
        <v>114</v>
      </c>
    </row>
    <row r="116" spans="1:13" ht="22.5" thickTop="1" thickBot="1" x14ac:dyDescent="0.3">
      <c r="B116" s="123" t="str">
        <f>C116</f>
        <v>Reino Unido</v>
      </c>
      <c r="C116" s="298" t="s">
        <v>115</v>
      </c>
      <c r="D116" s="299"/>
      <c r="E116" s="299"/>
      <c r="F116" s="299"/>
      <c r="G116" s="299"/>
      <c r="H116" s="299"/>
      <c r="I116" s="299"/>
      <c r="J116" s="299"/>
      <c r="K116" s="299"/>
      <c r="L116" s="299"/>
    </row>
    <row r="117" spans="1:13" ht="22.5" thickTop="1" thickBot="1" x14ac:dyDescent="0.3">
      <c r="B117" s="112"/>
      <c r="C117" s="303">
        <f t="shared" ref="C117" si="32">E117-1</f>
        <v>2022</v>
      </c>
      <c r="D117" s="301"/>
      <c r="E117" s="300">
        <f t="shared" ref="E117" si="33">G117-1</f>
        <v>2023</v>
      </c>
      <c r="F117" s="301"/>
      <c r="G117" s="300">
        <f t="shared" ref="G117" si="34">I117-1</f>
        <v>2024</v>
      </c>
      <c r="H117" s="301"/>
      <c r="I117" s="300">
        <f>K117-1</f>
        <v>2025</v>
      </c>
      <c r="J117" s="301"/>
      <c r="K117" s="300">
        <v>2026</v>
      </c>
      <c r="L117" s="302"/>
    </row>
    <row r="118" spans="1:13" ht="16.5" thickTop="1" thickBot="1" x14ac:dyDescent="0.3">
      <c r="B118" s="87"/>
      <c r="C118" s="113" t="s">
        <v>74</v>
      </c>
      <c r="D118" s="114" t="str">
        <f>CONCATENATE("dif ",RIGHT(C117,2),"/",RIGHT(C117-1,2))</f>
        <v>dif 22/21</v>
      </c>
      <c r="E118" s="115" t="s">
        <v>74</v>
      </c>
      <c r="F118" s="114" t="str">
        <f>CONCATENATE("dif ",RIGHT(E117,2),"/",RIGHT(C117,2))</f>
        <v>dif 23/22</v>
      </c>
      <c r="G118" s="115" t="s">
        <v>74</v>
      </c>
      <c r="H118" s="114" t="str">
        <f>CONCATENATE("dif ",RIGHT(G117,2),"/",RIGHT(E117,2))</f>
        <v>dif 24/23</v>
      </c>
      <c r="I118" s="115" t="s">
        <v>74</v>
      </c>
      <c r="J118" s="114" t="str">
        <f>CONCATENATE("dif ",RIGHT(I117,2),"/",RIGHT(G117,2))</f>
        <v>dif 25/24</v>
      </c>
      <c r="K118" s="115" t="s">
        <v>74</v>
      </c>
      <c r="L118" s="114" t="str">
        <f>CONCATENATE("dif ",RIGHT(K117,2),"/",RIGHT(I117,2))</f>
        <v>dif 26/25</v>
      </c>
    </row>
    <row r="119" spans="1:13" x14ac:dyDescent="0.25">
      <c r="B119" s="116" t="s">
        <v>76</v>
      </c>
      <c r="C119" s="187">
        <v>2.0192307692307692</v>
      </c>
      <c r="D119" s="188">
        <v>-1.1126544130811005</v>
      </c>
      <c r="E119" s="187">
        <v>3.0178253119429592</v>
      </c>
      <c r="F119" s="188">
        <f t="shared" ref="F119:H121" si="35">IFERROR(E119-C119,"-")</f>
        <v>0.99859454271219006</v>
      </c>
      <c r="G119" s="187">
        <v>3.6348208673790068</v>
      </c>
      <c r="H119" s="188">
        <f t="shared" si="35"/>
        <v>0.61699555543604756</v>
      </c>
      <c r="I119" s="187">
        <v>3.0897357098955132</v>
      </c>
      <c r="J119" s="188">
        <f t="shared" ref="J119:J121" si="36">IFERROR(I119-G119,"-")</f>
        <v>-0.54508515748349362</v>
      </c>
      <c r="K119" s="187">
        <v>3.3561197916666665</v>
      </c>
      <c r="L119" s="188">
        <f t="shared" ref="L119:L125" si="37">IFERROR(K119-I119,"-")</f>
        <v>0.26638408177115336</v>
      </c>
    </row>
    <row r="120" spans="1:13" x14ac:dyDescent="0.25">
      <c r="B120" s="116" t="s">
        <v>78</v>
      </c>
      <c r="C120" s="187">
        <v>2.23943661971831</v>
      </c>
      <c r="D120" s="188">
        <v>-0.73623670782295836</v>
      </c>
      <c r="E120" s="187">
        <v>2.7137161084529504</v>
      </c>
      <c r="F120" s="188">
        <f t="shared" si="35"/>
        <v>0.47427948873464043</v>
      </c>
      <c r="G120" s="187">
        <v>3.0872056015276894</v>
      </c>
      <c r="H120" s="188">
        <f t="shared" si="35"/>
        <v>0.373489493074739</v>
      </c>
      <c r="I120" s="187">
        <v>3.2123893805309733</v>
      </c>
      <c r="J120" s="188">
        <f t="shared" si="36"/>
        <v>0.12518377900328392</v>
      </c>
      <c r="K120" s="187">
        <v>2.7242647058823528</v>
      </c>
      <c r="L120" s="188">
        <f t="shared" si="37"/>
        <v>-0.48812467464862053</v>
      </c>
    </row>
    <row r="121" spans="1:13" x14ac:dyDescent="0.25">
      <c r="B121" s="116" t="s">
        <v>80</v>
      </c>
      <c r="C121" s="187">
        <v>4.3566433566433567</v>
      </c>
      <c r="D121" s="188">
        <v>0.42691362691362711</v>
      </c>
      <c r="E121" s="187">
        <v>2.840103716508211</v>
      </c>
      <c r="F121" s="188">
        <f t="shared" si="35"/>
        <v>-1.5165396401351456</v>
      </c>
      <c r="G121" s="187">
        <v>4.0447897623400362</v>
      </c>
      <c r="H121" s="188">
        <f t="shared" si="35"/>
        <v>1.2046860458318251</v>
      </c>
      <c r="I121" s="187">
        <v>2.5038022813688214</v>
      </c>
      <c r="J121" s="188">
        <f t="shared" si="36"/>
        <v>-1.5409874809712147</v>
      </c>
      <c r="K121" s="187">
        <v>3.2110874200426438</v>
      </c>
      <c r="L121" s="188">
        <f t="shared" si="37"/>
        <v>0.70728513867382237</v>
      </c>
    </row>
    <row r="122" spans="1:13" x14ac:dyDescent="0.25">
      <c r="B122" s="116" t="s">
        <v>82</v>
      </c>
      <c r="C122" s="187">
        <v>3.0357142857142856</v>
      </c>
      <c r="D122" s="188" t="s">
        <v>239</v>
      </c>
      <c r="E122" s="187">
        <v>3.3218390804597702</v>
      </c>
      <c r="F122" s="188">
        <f>IFERROR(E122-C122,"-")</f>
        <v>0.28612479474548458</v>
      </c>
      <c r="G122" s="187">
        <v>5.2445652173913047</v>
      </c>
      <c r="H122" s="188">
        <f>IFERROR(G122-E122,"-")</f>
        <v>1.9227261369315345</v>
      </c>
      <c r="I122" s="187">
        <v>3.081967213114754</v>
      </c>
      <c r="J122" s="188">
        <f>IFERROR(I122-G122,"-")</f>
        <v>-2.1625980042765507</v>
      </c>
      <c r="K122" s="187">
        <v>2.8283582089552239</v>
      </c>
      <c r="L122" s="188">
        <f t="shared" si="37"/>
        <v>-0.25360900415953003</v>
      </c>
    </row>
    <row r="123" spans="1:13" x14ac:dyDescent="0.25">
      <c r="B123" s="116" t="s">
        <v>84</v>
      </c>
      <c r="C123" s="187">
        <v>2.6268656716417911</v>
      </c>
      <c r="D123" s="188" t="s">
        <v>239</v>
      </c>
      <c r="E123" s="187">
        <v>3.4131868131868131</v>
      </c>
      <c r="F123" s="188">
        <f t="shared" ref="F123:H131" si="38">IFERROR(E123-C123,"-")</f>
        <v>0.78632114154502197</v>
      </c>
      <c r="G123" s="187">
        <v>3.4363636363636365</v>
      </c>
      <c r="H123" s="188">
        <f t="shared" si="38"/>
        <v>2.3176823176823458E-2</v>
      </c>
      <c r="I123" s="187">
        <v>2.8464646464646464</v>
      </c>
      <c r="J123" s="188">
        <f t="shared" ref="J123:J131" si="39">IFERROR(I123-G123,"-")</f>
        <v>-0.58989898989899014</v>
      </c>
      <c r="K123" s="187">
        <v>3.6743648960739028</v>
      </c>
      <c r="L123" s="188">
        <f t="shared" si="37"/>
        <v>0.82790024960925646</v>
      </c>
    </row>
    <row r="124" spans="1:13" x14ac:dyDescent="0.25">
      <c r="B124" s="116" t="s">
        <v>86</v>
      </c>
      <c r="C124" s="187">
        <v>2.7709923664122136</v>
      </c>
      <c r="D124" s="188" t="s">
        <v>239</v>
      </c>
      <c r="E124" s="187">
        <v>2.0308571428571427</v>
      </c>
      <c r="F124" s="188">
        <f t="shared" si="38"/>
        <v>-0.74013522355507089</v>
      </c>
      <c r="G124" s="187">
        <v>2.1683748169838948</v>
      </c>
      <c r="H124" s="188">
        <f t="shared" si="38"/>
        <v>0.13751767412675209</v>
      </c>
      <c r="I124" s="187">
        <v>2.9555555555555557</v>
      </c>
      <c r="J124" s="188">
        <f t="shared" si="39"/>
        <v>0.78718073857166093</v>
      </c>
      <c r="K124" s="187">
        <v>3</v>
      </c>
      <c r="L124" s="188">
        <f t="shared" si="37"/>
        <v>4.4444444444444287E-2</v>
      </c>
    </row>
    <row r="125" spans="1:13" x14ac:dyDescent="0.25">
      <c r="B125" s="116" t="s">
        <v>88</v>
      </c>
      <c r="C125" s="187">
        <v>2.4885057471264367</v>
      </c>
      <c r="D125" s="188" t="s">
        <v>239</v>
      </c>
      <c r="E125" s="187">
        <v>2.9597014925373135</v>
      </c>
      <c r="F125" s="188">
        <f t="shared" si="38"/>
        <v>0.47119574541087683</v>
      </c>
      <c r="G125" s="187">
        <v>3.1173553719008265</v>
      </c>
      <c r="H125" s="188">
        <f t="shared" si="38"/>
        <v>0.15765387936351294</v>
      </c>
      <c r="I125" s="187">
        <v>3.04</v>
      </c>
      <c r="J125" s="188">
        <f t="shared" si="39"/>
        <v>-7.735537190082642E-2</v>
      </c>
      <c r="K125" s="187">
        <v>3.0812720848056538</v>
      </c>
      <c r="L125" s="188">
        <f t="shared" si="37"/>
        <v>4.1272084805653808E-2</v>
      </c>
    </row>
    <row r="126" spans="1:13" x14ac:dyDescent="0.25">
      <c r="B126" s="116" t="s">
        <v>90</v>
      </c>
      <c r="C126" s="187">
        <v>3.496</v>
      </c>
      <c r="D126" s="188">
        <v>1.2748461538461537</v>
      </c>
      <c r="E126" s="187">
        <v>2.9539918809201624</v>
      </c>
      <c r="F126" s="188">
        <f t="shared" si="38"/>
        <v>-0.54200811907983759</v>
      </c>
      <c r="G126" s="187">
        <v>3.9154135338345863</v>
      </c>
      <c r="H126" s="188">
        <f t="shared" si="38"/>
        <v>0.96142165291442394</v>
      </c>
      <c r="I126" s="187">
        <v>3.1906976744186046</v>
      </c>
      <c r="J126" s="188">
        <f t="shared" si="39"/>
        <v>-0.72471585941598171</v>
      </c>
      <c r="K126" s="187"/>
      <c r="L126" s="188"/>
    </row>
    <row r="127" spans="1:13" x14ac:dyDescent="0.25">
      <c r="B127" s="116" t="s">
        <v>92</v>
      </c>
      <c r="C127" s="187">
        <v>3.4175084175084174</v>
      </c>
      <c r="D127" s="188">
        <v>0.83655603655603628</v>
      </c>
      <c r="E127" s="187">
        <v>9.6633858267716537</v>
      </c>
      <c r="F127" s="188">
        <f t="shared" si="38"/>
        <v>6.2458774092632368</v>
      </c>
      <c r="G127" s="187">
        <v>3.7929373996789728</v>
      </c>
      <c r="H127" s="188">
        <f t="shared" si="38"/>
        <v>-5.8704484270926809</v>
      </c>
      <c r="I127" s="187">
        <v>3.1057046979865772</v>
      </c>
      <c r="J127" s="188">
        <f t="shared" si="39"/>
        <v>-0.68723270169239559</v>
      </c>
      <c r="K127" s="187"/>
      <c r="L127" s="188"/>
    </row>
    <row r="128" spans="1:13" x14ac:dyDescent="0.25">
      <c r="A128" s="122"/>
      <c r="B128" s="116" t="s">
        <v>94</v>
      </c>
      <c r="C128" s="187">
        <v>3.5809682804674456</v>
      </c>
      <c r="D128" s="188">
        <v>1.7363736858728511</v>
      </c>
      <c r="E128" s="187">
        <v>6.4522875816993466</v>
      </c>
      <c r="F128" s="188">
        <f t="shared" si="38"/>
        <v>2.8713193012319009</v>
      </c>
      <c r="G128" s="187">
        <v>2.9451612903225808</v>
      </c>
      <c r="H128" s="188">
        <f t="shared" si="38"/>
        <v>-3.5071262913767658</v>
      </c>
      <c r="I128" s="187">
        <v>2.8365155131264919</v>
      </c>
      <c r="J128" s="188">
        <f t="shared" si="39"/>
        <v>-0.10864577719608892</v>
      </c>
      <c r="K128" s="187"/>
      <c r="L128" s="188"/>
    </row>
    <row r="129" spans="2:13" x14ac:dyDescent="0.25">
      <c r="B129" s="116" t="s">
        <v>96</v>
      </c>
      <c r="C129" s="187">
        <v>3.5132867132867132</v>
      </c>
      <c r="D129" s="188">
        <v>1.5200894343751485</v>
      </c>
      <c r="E129" s="187">
        <v>3.0739700374531833</v>
      </c>
      <c r="F129" s="188">
        <f t="shared" si="38"/>
        <v>-0.43931667583352985</v>
      </c>
      <c r="G129" s="187">
        <v>2.8123827392120075</v>
      </c>
      <c r="H129" s="188">
        <f t="shared" si="38"/>
        <v>-0.26158729824117577</v>
      </c>
      <c r="I129" s="187">
        <v>2.8414959928762245</v>
      </c>
      <c r="J129" s="188">
        <f t="shared" si="39"/>
        <v>2.9113253664216909E-2</v>
      </c>
      <c r="K129" s="187"/>
      <c r="L129" s="188"/>
    </row>
    <row r="130" spans="2:13" x14ac:dyDescent="0.25">
      <c r="B130" s="116" t="s">
        <v>98</v>
      </c>
      <c r="C130" s="187">
        <v>3.325072886297376</v>
      </c>
      <c r="D130" s="188">
        <v>0.5944606413994169</v>
      </c>
      <c r="E130" s="187">
        <v>3.2570671378091873</v>
      </c>
      <c r="F130" s="188">
        <f t="shared" si="38"/>
        <v>-6.8005748488188633E-2</v>
      </c>
      <c r="G130" s="187">
        <v>3.14419795221843</v>
      </c>
      <c r="H130" s="188">
        <f t="shared" si="38"/>
        <v>-0.11286918559075731</v>
      </c>
      <c r="I130" s="187">
        <v>2.7615720524017466</v>
      </c>
      <c r="J130" s="188">
        <f t="shared" si="39"/>
        <v>-0.38262589981668338</v>
      </c>
      <c r="K130" s="187"/>
      <c r="L130" s="188"/>
    </row>
    <row r="131" spans="2:13" ht="15.75" x14ac:dyDescent="0.25">
      <c r="B131" s="119" t="s">
        <v>32</v>
      </c>
      <c r="C131" s="189">
        <v>3.3324340527577938</v>
      </c>
      <c r="D131" s="190">
        <v>0.4319011930775094</v>
      </c>
      <c r="E131" s="189">
        <v>3.4567530461644069</v>
      </c>
      <c r="F131" s="190">
        <f t="shared" si="38"/>
        <v>0.12431899340661312</v>
      </c>
      <c r="G131" s="189">
        <v>3.4241430979584191</v>
      </c>
      <c r="H131" s="190">
        <f t="shared" si="38"/>
        <v>-3.2609948205987838E-2</v>
      </c>
      <c r="I131" s="189">
        <v>2.9500765110941085</v>
      </c>
      <c r="J131" s="190">
        <f t="shared" si="39"/>
        <v>-0.47406658686431058</v>
      </c>
      <c r="K131" s="189">
        <v>3.1012463718627283</v>
      </c>
      <c r="L131" s="190">
        <v>0.12088952131435704</v>
      </c>
    </row>
    <row r="132" spans="2:13" ht="6" customHeight="1" x14ac:dyDescent="0.25"/>
    <row r="133" spans="2:13" x14ac:dyDescent="0.25">
      <c r="B133" s="107" t="s">
        <v>57</v>
      </c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</row>
    <row r="134" spans="2:13" x14ac:dyDescent="0.25">
      <c r="I134" s="122"/>
      <c r="K134" s="122"/>
      <c r="L134" s="125"/>
    </row>
    <row r="136" spans="2:13" ht="48.75" customHeight="1" thickBot="1" x14ac:dyDescent="0.3">
      <c r="B136" s="273" t="s">
        <v>302</v>
      </c>
      <c r="C136" s="273"/>
      <c r="D136" s="273"/>
      <c r="E136" s="273"/>
      <c r="F136" s="273"/>
      <c r="G136" s="273"/>
      <c r="H136" s="273"/>
      <c r="I136" s="273"/>
      <c r="J136" s="273"/>
      <c r="K136" s="273"/>
      <c r="L136" s="273"/>
      <c r="M136" s="1" t="s">
        <v>116</v>
      </c>
    </row>
    <row r="137" spans="2:13" ht="10.5" customHeight="1" thickBot="1" x14ac:dyDescent="0.3">
      <c r="B137" s="109"/>
      <c r="C137" s="110"/>
      <c r="D137" s="109"/>
      <c r="E137" s="109"/>
      <c r="F137" s="109"/>
      <c r="G137" s="109"/>
      <c r="H137" s="109"/>
      <c r="I137" s="109"/>
      <c r="J137" s="109"/>
      <c r="K137" s="4"/>
      <c r="L137" s="4"/>
      <c r="M137" s="1" t="s">
        <v>117</v>
      </c>
    </row>
    <row r="138" spans="2:13" ht="22.5" thickTop="1" thickBot="1" x14ac:dyDescent="0.3">
      <c r="B138" s="123" t="str">
        <f>C138</f>
        <v>Alemania</v>
      </c>
      <c r="C138" s="298" t="s">
        <v>118</v>
      </c>
      <c r="D138" s="299"/>
      <c r="E138" s="299"/>
      <c r="F138" s="299"/>
      <c r="G138" s="299"/>
      <c r="H138" s="299"/>
      <c r="I138" s="299"/>
      <c r="J138" s="299"/>
      <c r="K138" s="299"/>
      <c r="L138" s="299"/>
    </row>
    <row r="139" spans="2:13" ht="22.5" thickTop="1" thickBot="1" x14ac:dyDescent="0.3">
      <c r="B139" s="112"/>
      <c r="C139" s="303">
        <f t="shared" ref="C139" si="40">E139-1</f>
        <v>2022</v>
      </c>
      <c r="D139" s="301"/>
      <c r="E139" s="300">
        <f t="shared" ref="E139" si="41">G139-1</f>
        <v>2023</v>
      </c>
      <c r="F139" s="301"/>
      <c r="G139" s="300">
        <f t="shared" ref="G139" si="42">I139-1</f>
        <v>2024</v>
      </c>
      <c r="H139" s="301"/>
      <c r="I139" s="300">
        <f>K139-1</f>
        <v>2025</v>
      </c>
      <c r="J139" s="301"/>
      <c r="K139" s="300">
        <v>2026</v>
      </c>
      <c r="L139" s="302"/>
    </row>
    <row r="140" spans="2:13" ht="16.5" thickTop="1" thickBot="1" x14ac:dyDescent="0.3">
      <c r="B140" s="87"/>
      <c r="C140" s="113" t="s">
        <v>74</v>
      </c>
      <c r="D140" s="114" t="str">
        <f>CONCATENATE("dif ",RIGHT(C139,2),"/",RIGHT(C139-1,2))</f>
        <v>dif 22/21</v>
      </c>
      <c r="E140" s="115" t="s">
        <v>74</v>
      </c>
      <c r="F140" s="114" t="str">
        <f>CONCATENATE("dif ",RIGHT(E139,2),"/",RIGHT(C139,2))</f>
        <v>dif 23/22</v>
      </c>
      <c r="G140" s="115" t="s">
        <v>74</v>
      </c>
      <c r="H140" s="114" t="str">
        <f>CONCATENATE("dif ",RIGHT(G139,2),"/",RIGHT(E139,2))</f>
        <v>dif 24/23</v>
      </c>
      <c r="I140" s="115" t="s">
        <v>74</v>
      </c>
      <c r="J140" s="114" t="str">
        <f>CONCATENATE("dif ",RIGHT(I139,2),"/",RIGHT(G139,2))</f>
        <v>dif 25/24</v>
      </c>
      <c r="K140" s="115" t="s">
        <v>74</v>
      </c>
      <c r="L140" s="114" t="str">
        <f>CONCATENATE("dif ",RIGHT(K139,2),"/",RIGHT(I139,2))</f>
        <v>dif 26/25</v>
      </c>
    </row>
    <row r="141" spans="2:13" x14ac:dyDescent="0.25">
      <c r="B141" s="116" t="s">
        <v>76</v>
      </c>
      <c r="C141" s="187">
        <v>2.1025641025641026</v>
      </c>
      <c r="D141" s="188">
        <v>-1.1222602534077941</v>
      </c>
      <c r="E141" s="187">
        <v>3.0078160919540231</v>
      </c>
      <c r="F141" s="188">
        <f t="shared" ref="F141:H143" si="43">IFERROR(E141-C141,"-")</f>
        <v>0.90525198938992046</v>
      </c>
      <c r="G141" s="187">
        <v>3.0904954499494437</v>
      </c>
      <c r="H141" s="188">
        <f t="shared" si="43"/>
        <v>8.2679357995420588E-2</v>
      </c>
      <c r="I141" s="187">
        <v>2.6489778164419313</v>
      </c>
      <c r="J141" s="188">
        <f t="shared" ref="J141:J143" si="44">IFERROR(I141-G141,"-")</f>
        <v>-0.44151763350751239</v>
      </c>
      <c r="K141" s="187">
        <v>2.5611370716510904</v>
      </c>
      <c r="L141" s="188">
        <f t="shared" ref="L141:L147" si="45">IFERROR(K141-I141,"-")</f>
        <v>-8.7840744790840919E-2</v>
      </c>
    </row>
    <row r="142" spans="2:13" x14ac:dyDescent="0.25">
      <c r="B142" s="116" t="s">
        <v>78</v>
      </c>
      <c r="C142" s="187">
        <v>1.8482142857142858</v>
      </c>
      <c r="D142" s="188">
        <v>-0.97387160385626648</v>
      </c>
      <c r="E142" s="187">
        <v>2.9518987341772154</v>
      </c>
      <c r="F142" s="188">
        <f t="shared" si="43"/>
        <v>1.1036844484629296</v>
      </c>
      <c r="G142" s="187">
        <v>2.8136952498457743</v>
      </c>
      <c r="H142" s="188">
        <f t="shared" si="43"/>
        <v>-0.13820348433144103</v>
      </c>
      <c r="I142" s="187">
        <v>2.592752839372634</v>
      </c>
      <c r="J142" s="188">
        <f t="shared" si="44"/>
        <v>-0.22094241047314034</v>
      </c>
      <c r="K142" s="187">
        <v>2.5432866770347329</v>
      </c>
      <c r="L142" s="188">
        <f t="shared" si="45"/>
        <v>-4.9466162337901132E-2</v>
      </c>
    </row>
    <row r="143" spans="2:13" x14ac:dyDescent="0.25">
      <c r="B143" s="116" t="s">
        <v>80</v>
      </c>
      <c r="C143" s="187">
        <v>2.0061475409836067</v>
      </c>
      <c r="D143" s="188">
        <v>-1.3307168657960542</v>
      </c>
      <c r="E143" s="187">
        <v>3.0681431005110733</v>
      </c>
      <c r="F143" s="188">
        <f t="shared" si="43"/>
        <v>1.0619955595274666</v>
      </c>
      <c r="G143" s="187">
        <v>3.3477758521086076</v>
      </c>
      <c r="H143" s="188">
        <f t="shared" si="43"/>
        <v>0.27963275159753431</v>
      </c>
      <c r="I143" s="187">
        <v>2.3437806072477962</v>
      </c>
      <c r="J143" s="188">
        <f t="shared" si="44"/>
        <v>-1.0039952448608114</v>
      </c>
      <c r="K143" s="187">
        <v>2.716786355475763</v>
      </c>
      <c r="L143" s="188">
        <f t="shared" si="45"/>
        <v>0.37300574822796673</v>
      </c>
    </row>
    <row r="144" spans="2:13" x14ac:dyDescent="0.25">
      <c r="B144" s="116" t="s">
        <v>82</v>
      </c>
      <c r="C144" s="187">
        <v>3.1631419939577041</v>
      </c>
      <c r="D144" s="188" t="s">
        <v>239</v>
      </c>
      <c r="E144" s="187">
        <v>2.8441330998248686</v>
      </c>
      <c r="F144" s="188">
        <f>IFERROR(E144-C144,"-")</f>
        <v>-0.31900889413283551</v>
      </c>
      <c r="G144" s="187">
        <v>3.0526849037487334</v>
      </c>
      <c r="H144" s="188">
        <f>IFERROR(G144-E144,"-")</f>
        <v>0.20855180392386474</v>
      </c>
      <c r="I144" s="187">
        <v>3.4611503531786076</v>
      </c>
      <c r="J144" s="188">
        <f>IFERROR(I144-G144,"-")</f>
        <v>0.40846544942987428</v>
      </c>
      <c r="K144" s="187">
        <v>2.8779631255487268</v>
      </c>
      <c r="L144" s="188">
        <f t="shared" si="45"/>
        <v>-0.58318722762988084</v>
      </c>
    </row>
    <row r="145" spans="1:13" x14ac:dyDescent="0.25">
      <c r="B145" s="116" t="s">
        <v>84</v>
      </c>
      <c r="C145" s="187">
        <v>1.9887005649717515</v>
      </c>
      <c r="D145" s="188" t="s">
        <v>239</v>
      </c>
      <c r="E145" s="187">
        <v>3.4113924050632911</v>
      </c>
      <c r="F145" s="188">
        <f t="shared" ref="F145:H153" si="46">IFERROR(E145-C145,"-")</f>
        <v>1.4226918400915396</v>
      </c>
      <c r="G145" s="187">
        <v>3.6533333333333333</v>
      </c>
      <c r="H145" s="188">
        <f t="shared" si="46"/>
        <v>0.24194092827004221</v>
      </c>
      <c r="I145" s="187">
        <v>2.9536290322580645</v>
      </c>
      <c r="J145" s="188">
        <f t="shared" ref="J145:J153" si="47">IFERROR(I145-G145,"-")</f>
        <v>-0.69970430107526882</v>
      </c>
      <c r="K145" s="187">
        <v>2.7263581488933601</v>
      </c>
      <c r="L145" s="188">
        <f t="shared" si="45"/>
        <v>-0.22727088336470436</v>
      </c>
    </row>
    <row r="146" spans="1:13" x14ac:dyDescent="0.25">
      <c r="B146" s="116" t="s">
        <v>86</v>
      </c>
      <c r="C146" s="187">
        <v>2.6368421052631579</v>
      </c>
      <c r="D146" s="188" t="s">
        <v>239</v>
      </c>
      <c r="E146" s="187">
        <v>2.2542372881355934</v>
      </c>
      <c r="F146" s="188">
        <f t="shared" si="46"/>
        <v>-0.38260481712756444</v>
      </c>
      <c r="G146" s="187">
        <v>3.1690821256038646</v>
      </c>
      <c r="H146" s="188">
        <f t="shared" si="46"/>
        <v>0.91484483746827117</v>
      </c>
      <c r="I146" s="187">
        <v>3.1378299120234603</v>
      </c>
      <c r="J146" s="188">
        <f t="shared" si="47"/>
        <v>-3.1252213580404309E-2</v>
      </c>
      <c r="K146" s="187">
        <v>3.1467391304347827</v>
      </c>
      <c r="L146" s="188">
        <f t="shared" si="45"/>
        <v>8.9092184113224171E-3</v>
      </c>
    </row>
    <row r="147" spans="1:13" x14ac:dyDescent="0.25">
      <c r="B147" s="116" t="s">
        <v>88</v>
      </c>
      <c r="C147" s="187">
        <v>2.7804347826086957</v>
      </c>
      <c r="D147" s="188" t="s">
        <v>239</v>
      </c>
      <c r="E147" s="187">
        <v>3.7381889763779528</v>
      </c>
      <c r="F147" s="188">
        <f t="shared" si="46"/>
        <v>0.95775419376925708</v>
      </c>
      <c r="G147" s="187">
        <v>3.1252525252525252</v>
      </c>
      <c r="H147" s="188">
        <f t="shared" si="46"/>
        <v>-0.61293645112542761</v>
      </c>
      <c r="I147" s="187">
        <v>3.4524271844660195</v>
      </c>
      <c r="J147" s="188">
        <f t="shared" si="47"/>
        <v>0.32717465921349431</v>
      </c>
      <c r="K147" s="187">
        <v>3.3455882352941178</v>
      </c>
      <c r="L147" s="188">
        <f t="shared" si="45"/>
        <v>-0.10683894917190173</v>
      </c>
    </row>
    <row r="148" spans="1:13" x14ac:dyDescent="0.25">
      <c r="B148" s="116" t="s">
        <v>90</v>
      </c>
      <c r="C148" s="187">
        <v>4.0877192982456139</v>
      </c>
      <c r="D148" s="188">
        <v>1.5847607183639569</v>
      </c>
      <c r="E148" s="187">
        <v>5.3590664272890489</v>
      </c>
      <c r="F148" s="188">
        <f t="shared" si="46"/>
        <v>1.2713471290434351</v>
      </c>
      <c r="G148" s="187">
        <v>4.5181674565560819</v>
      </c>
      <c r="H148" s="188">
        <f t="shared" si="46"/>
        <v>-0.84089897073296704</v>
      </c>
      <c r="I148" s="187">
        <v>4.0520607375271149</v>
      </c>
      <c r="J148" s="188">
        <f t="shared" si="47"/>
        <v>-0.46610671902896694</v>
      </c>
      <c r="K148" s="187"/>
      <c r="L148" s="188"/>
    </row>
    <row r="149" spans="1:13" x14ac:dyDescent="0.25">
      <c r="B149" s="116" t="s">
        <v>92</v>
      </c>
      <c r="C149" s="187">
        <v>3.1950718685831623</v>
      </c>
      <c r="D149" s="188">
        <v>1.0229407210421786</v>
      </c>
      <c r="E149" s="187">
        <v>3.9280575539568345</v>
      </c>
      <c r="F149" s="188">
        <f t="shared" si="46"/>
        <v>0.73298568537367226</v>
      </c>
      <c r="G149" s="187">
        <v>4.2538461538461538</v>
      </c>
      <c r="H149" s="188">
        <f t="shared" si="46"/>
        <v>0.3257885998893193</v>
      </c>
      <c r="I149" s="187">
        <v>3.5015060240963853</v>
      </c>
      <c r="J149" s="188">
        <f t="shared" si="47"/>
        <v>-0.75234012974976849</v>
      </c>
      <c r="K149" s="187"/>
      <c r="L149" s="188"/>
    </row>
    <row r="150" spans="1:13" x14ac:dyDescent="0.25">
      <c r="A150" s="122"/>
      <c r="B150" s="116" t="s">
        <v>94</v>
      </c>
      <c r="C150" s="187">
        <v>3.2486938349007315</v>
      </c>
      <c r="D150" s="188">
        <v>1.5381675191112578</v>
      </c>
      <c r="E150" s="187">
        <v>3.7243816254416959</v>
      </c>
      <c r="F150" s="188">
        <f t="shared" si="46"/>
        <v>0.47568779054096444</v>
      </c>
      <c r="G150" s="187">
        <v>4.0418250950570345</v>
      </c>
      <c r="H150" s="188">
        <f t="shared" si="46"/>
        <v>0.31744346961533854</v>
      </c>
      <c r="I150" s="187">
        <v>3.105069124423963</v>
      </c>
      <c r="J150" s="188">
        <f t="shared" si="47"/>
        <v>-0.93675597063307148</v>
      </c>
      <c r="K150" s="187"/>
      <c r="L150" s="188"/>
    </row>
    <row r="151" spans="1:13" x14ac:dyDescent="0.25">
      <c r="B151" s="116" t="s">
        <v>96</v>
      </c>
      <c r="C151" s="187">
        <v>3.2394548994159638</v>
      </c>
      <c r="D151" s="188">
        <v>0.9072515095854552</v>
      </c>
      <c r="E151" s="187">
        <v>3.3473531544597535</v>
      </c>
      <c r="F151" s="188">
        <f t="shared" si="46"/>
        <v>0.10789825504378969</v>
      </c>
      <c r="G151" s="187">
        <v>2.7167487684729066</v>
      </c>
      <c r="H151" s="188">
        <f t="shared" si="46"/>
        <v>-0.63060438598684687</v>
      </c>
      <c r="I151" s="187">
        <v>2.802463054187192</v>
      </c>
      <c r="J151" s="188">
        <f t="shared" si="47"/>
        <v>8.571428571428541E-2</v>
      </c>
      <c r="K151" s="187"/>
      <c r="L151" s="188"/>
    </row>
    <row r="152" spans="1:13" x14ac:dyDescent="0.25">
      <c r="B152" s="116" t="s">
        <v>98</v>
      </c>
      <c r="C152" s="187">
        <v>4.466221232368226</v>
      </c>
      <c r="D152" s="188">
        <v>1.9621228717124883</v>
      </c>
      <c r="E152" s="187">
        <v>3.2475832438238452</v>
      </c>
      <c r="F152" s="188">
        <f t="shared" si="46"/>
        <v>-1.2186379885443808</v>
      </c>
      <c r="G152" s="187">
        <v>2.922064244339126</v>
      </c>
      <c r="H152" s="188">
        <f t="shared" si="46"/>
        <v>-0.32551899948471918</v>
      </c>
      <c r="I152" s="187">
        <v>2.4776853252647504</v>
      </c>
      <c r="J152" s="188">
        <f t="shared" si="47"/>
        <v>-0.44437891907437566</v>
      </c>
      <c r="K152" s="187"/>
      <c r="L152" s="188"/>
    </row>
    <row r="153" spans="1:13" ht="15.75" x14ac:dyDescent="0.25">
      <c r="B153" s="119" t="s">
        <v>32</v>
      </c>
      <c r="C153" s="189">
        <v>3.2031719989062073</v>
      </c>
      <c r="D153" s="190">
        <v>0.35392452789707818</v>
      </c>
      <c r="E153" s="189">
        <v>3.2618099887345098</v>
      </c>
      <c r="F153" s="190">
        <f t="shared" si="46"/>
        <v>5.8637989828302484E-2</v>
      </c>
      <c r="G153" s="189">
        <v>3.2118560231337039</v>
      </c>
      <c r="H153" s="190">
        <f t="shared" si="46"/>
        <v>-4.9953965600805894E-2</v>
      </c>
      <c r="I153" s="189">
        <v>2.8030745281183109</v>
      </c>
      <c r="J153" s="190">
        <f t="shared" si="47"/>
        <v>-0.40878149501539296</v>
      </c>
      <c r="K153" s="189">
        <v>2.7024187370033927</v>
      </c>
      <c r="L153" s="190">
        <v>-4.1399380891837367E-2</v>
      </c>
    </row>
    <row r="154" spans="1:13" ht="6" customHeight="1" x14ac:dyDescent="0.25"/>
    <row r="155" spans="1:13" x14ac:dyDescent="0.25">
      <c r="B155" s="107" t="s">
        <v>57</v>
      </c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</row>
    <row r="156" spans="1:13" x14ac:dyDescent="0.25">
      <c r="I156" s="122"/>
      <c r="L156" s="126"/>
    </row>
    <row r="158" spans="1:13" ht="48.75" customHeight="1" thickBot="1" x14ac:dyDescent="0.3">
      <c r="B158" s="273" t="s">
        <v>303</v>
      </c>
      <c r="C158" s="273"/>
      <c r="D158" s="273"/>
      <c r="E158" s="273"/>
      <c r="F158" s="273"/>
      <c r="G158" s="273"/>
      <c r="H158" s="273"/>
      <c r="I158" s="273"/>
      <c r="J158" s="273"/>
      <c r="K158" s="273"/>
      <c r="L158" s="273"/>
      <c r="M158" s="1" t="s">
        <v>119</v>
      </c>
    </row>
    <row r="159" spans="1:13" ht="10.5" customHeight="1" thickBot="1" x14ac:dyDescent="0.3">
      <c r="B159" s="109"/>
      <c r="C159" s="110"/>
      <c r="D159" s="109"/>
      <c r="E159" s="109"/>
      <c r="F159" s="109"/>
      <c r="G159" s="109"/>
      <c r="H159" s="109"/>
      <c r="I159" s="109"/>
      <c r="J159" s="109"/>
      <c r="K159" s="4"/>
      <c r="L159" s="4"/>
      <c r="M159" s="1" t="s">
        <v>120</v>
      </c>
    </row>
    <row r="160" spans="1:13" ht="22.5" thickTop="1" thickBot="1" x14ac:dyDescent="0.3">
      <c r="B160" s="123" t="str">
        <f>C160</f>
        <v>Francia</v>
      </c>
      <c r="C160" s="298" t="s">
        <v>121</v>
      </c>
      <c r="D160" s="299"/>
      <c r="E160" s="299"/>
      <c r="F160" s="299"/>
      <c r="G160" s="299"/>
      <c r="H160" s="299"/>
      <c r="I160" s="299"/>
      <c r="J160" s="299"/>
      <c r="K160" s="299"/>
      <c r="L160" s="299"/>
    </row>
    <row r="161" spans="2:12" ht="22.5" thickTop="1" thickBot="1" x14ac:dyDescent="0.3">
      <c r="B161" s="112"/>
      <c r="C161" s="303">
        <f t="shared" ref="C161" si="48">E161-1</f>
        <v>2022</v>
      </c>
      <c r="D161" s="301"/>
      <c r="E161" s="300">
        <f t="shared" ref="E161" si="49">G161-1</f>
        <v>2023</v>
      </c>
      <c r="F161" s="301"/>
      <c r="G161" s="300">
        <f t="shared" ref="G161" si="50">I161-1</f>
        <v>2024</v>
      </c>
      <c r="H161" s="301"/>
      <c r="I161" s="300">
        <f>K161-1</f>
        <v>2025</v>
      </c>
      <c r="J161" s="301"/>
      <c r="K161" s="300">
        <v>2026</v>
      </c>
      <c r="L161" s="302"/>
    </row>
    <row r="162" spans="2:12" ht="16.5" thickTop="1" thickBot="1" x14ac:dyDescent="0.3">
      <c r="B162" s="87"/>
      <c r="C162" s="113" t="s">
        <v>74</v>
      </c>
      <c r="D162" s="114" t="str">
        <f>CONCATENATE("dif ",RIGHT(C161,2),"/",RIGHT(C161-1,2))</f>
        <v>dif 22/21</v>
      </c>
      <c r="E162" s="115" t="s">
        <v>74</v>
      </c>
      <c r="F162" s="114" t="str">
        <f>CONCATENATE("dif ",RIGHT(E161,2),"/",RIGHT(C161,2))</f>
        <v>dif 23/22</v>
      </c>
      <c r="G162" s="115" t="s">
        <v>74</v>
      </c>
      <c r="H162" s="114" t="str">
        <f>CONCATENATE("dif ",RIGHT(G161,2),"/",RIGHT(E161,2))</f>
        <v>dif 24/23</v>
      </c>
      <c r="I162" s="115" t="s">
        <v>74</v>
      </c>
      <c r="J162" s="114" t="str">
        <f>CONCATENATE("dif ",RIGHT(I161,2),"/",RIGHT(G161,2))</f>
        <v>dif 25/24</v>
      </c>
      <c r="K162" s="115" t="s">
        <v>74</v>
      </c>
      <c r="L162" s="114" t="str">
        <f>CONCATENATE("dif ",RIGHT(K161,2),"/",RIGHT(I161,2))</f>
        <v>dif 26/25</v>
      </c>
    </row>
    <row r="163" spans="2:12" x14ac:dyDescent="0.25">
      <c r="B163" s="116" t="s">
        <v>76</v>
      </c>
      <c r="C163" s="187">
        <v>2.2834645669291338</v>
      </c>
      <c r="D163" s="188">
        <v>-0.36418165275702874</v>
      </c>
      <c r="E163" s="187">
        <v>3.2624390243902437</v>
      </c>
      <c r="F163" s="188">
        <f t="shared" ref="F163:H165" si="51">IFERROR(E163-C163,"-")</f>
        <v>0.97897445746110989</v>
      </c>
      <c r="G163" s="187">
        <v>3.3650975889781858</v>
      </c>
      <c r="H163" s="188">
        <f t="shared" si="51"/>
        <v>0.10265856458794209</v>
      </c>
      <c r="I163" s="187">
        <v>2.6550116550116551</v>
      </c>
      <c r="J163" s="188">
        <f t="shared" ref="J163:J165" si="52">IFERROR(I163-G163,"-")</f>
        <v>-0.71008593396653064</v>
      </c>
      <c r="K163" s="187">
        <v>2.5772870662460567</v>
      </c>
      <c r="L163" s="188">
        <f t="shared" ref="L163:L169" si="53">IFERROR(K163-I163,"-")</f>
        <v>-7.7724588765598401E-2</v>
      </c>
    </row>
    <row r="164" spans="2:12" x14ac:dyDescent="0.25">
      <c r="B164" s="116" t="s">
        <v>78</v>
      </c>
      <c r="C164" s="187">
        <v>1.8796561604584527</v>
      </c>
      <c r="D164" s="188">
        <v>-0.62150663023922159</v>
      </c>
      <c r="E164" s="187">
        <v>2.7587822014051522</v>
      </c>
      <c r="F164" s="188">
        <f t="shared" si="51"/>
        <v>0.87912604094669944</v>
      </c>
      <c r="G164" s="187">
        <v>3.1713917525773194</v>
      </c>
      <c r="H164" s="188">
        <f t="shared" si="51"/>
        <v>0.41260955117216724</v>
      </c>
      <c r="I164" s="187">
        <v>2.4119850187265919</v>
      </c>
      <c r="J164" s="188">
        <f t="shared" si="52"/>
        <v>-0.75940673385072754</v>
      </c>
      <c r="K164" s="187">
        <v>2.6081677704194259</v>
      </c>
      <c r="L164" s="188">
        <f t="shared" si="53"/>
        <v>0.19618275169283406</v>
      </c>
    </row>
    <row r="165" spans="2:12" x14ac:dyDescent="0.25">
      <c r="B165" s="116" t="s">
        <v>80</v>
      </c>
      <c r="C165" s="187">
        <v>1.9816176470588236</v>
      </c>
      <c r="D165" s="188">
        <v>-0.36028466656585523</v>
      </c>
      <c r="E165" s="187">
        <v>2.9254201680672267</v>
      </c>
      <c r="F165" s="188">
        <f t="shared" si="51"/>
        <v>0.94380252100840312</v>
      </c>
      <c r="G165" s="187">
        <v>3.0355220667384284</v>
      </c>
      <c r="H165" s="188">
        <f t="shared" si="51"/>
        <v>0.11010189867120168</v>
      </c>
      <c r="I165" s="187">
        <v>2.5060240963855422</v>
      </c>
      <c r="J165" s="188">
        <f t="shared" si="52"/>
        <v>-0.52949797035288615</v>
      </c>
      <c r="K165" s="187">
        <v>2.4431486880466471</v>
      </c>
      <c r="L165" s="188">
        <f t="shared" si="53"/>
        <v>-6.2875408338895156E-2</v>
      </c>
    </row>
    <row r="166" spans="2:12" x14ac:dyDescent="0.25">
      <c r="B166" s="116" t="s">
        <v>82</v>
      </c>
      <c r="C166" s="187">
        <v>2.4818840579710146</v>
      </c>
      <c r="D166" s="188" t="s">
        <v>239</v>
      </c>
      <c r="E166" s="187">
        <v>2.8601626016260164</v>
      </c>
      <c r="F166" s="188">
        <f>IFERROR(E166-C166,"-")</f>
        <v>0.3782785436550018</v>
      </c>
      <c r="G166" s="187">
        <v>3.2119658119658121</v>
      </c>
      <c r="H166" s="188">
        <f>IFERROR(G166-E166,"-")</f>
        <v>0.35180321033979567</v>
      </c>
      <c r="I166" s="187">
        <v>2.6920634920634923</v>
      </c>
      <c r="J166" s="188">
        <f>IFERROR(I166-G166,"-")</f>
        <v>-0.51990231990231983</v>
      </c>
      <c r="K166" s="187">
        <v>2.7707509881422925</v>
      </c>
      <c r="L166" s="188">
        <f t="shared" si="53"/>
        <v>7.8687496078800212E-2</v>
      </c>
    </row>
    <row r="167" spans="2:12" x14ac:dyDescent="0.25">
      <c r="B167" s="116" t="s">
        <v>84</v>
      </c>
      <c r="C167" s="187">
        <v>2.5666251556662516</v>
      </c>
      <c r="D167" s="188" t="s">
        <v>239</v>
      </c>
      <c r="E167" s="187">
        <v>3.4193548387096775</v>
      </c>
      <c r="F167" s="188">
        <f t="shared" ref="F167:H175" si="54">IFERROR(E167-C167,"-")</f>
        <v>0.85272968304342589</v>
      </c>
      <c r="G167" s="187">
        <v>3.05</v>
      </c>
      <c r="H167" s="188">
        <f t="shared" si="54"/>
        <v>-0.36935483870967767</v>
      </c>
      <c r="I167" s="187">
        <v>2.6948275862068964</v>
      </c>
      <c r="J167" s="188">
        <f t="shared" ref="J167:J175" si="55">IFERROR(I167-G167,"-")</f>
        <v>-0.35517241379310338</v>
      </c>
      <c r="K167" s="187">
        <v>2.8373382624768948</v>
      </c>
      <c r="L167" s="188">
        <f t="shared" si="53"/>
        <v>0.14251067626999836</v>
      </c>
    </row>
    <row r="168" spans="2:12" x14ac:dyDescent="0.25">
      <c r="B168" s="116" t="s">
        <v>86</v>
      </c>
      <c r="C168" s="187">
        <v>2.5984848484848486</v>
      </c>
      <c r="D168" s="188" t="s">
        <v>239</v>
      </c>
      <c r="E168" s="187">
        <v>3.8049886621315192</v>
      </c>
      <c r="F168" s="188">
        <f t="shared" si="54"/>
        <v>1.2065038136466706</v>
      </c>
      <c r="G168" s="187">
        <v>2.4794520547945207</v>
      </c>
      <c r="H168" s="188">
        <f t="shared" si="54"/>
        <v>-1.3255366073369985</v>
      </c>
      <c r="I168" s="187">
        <v>2.3545918367346941</v>
      </c>
      <c r="J168" s="188">
        <f t="shared" si="55"/>
        <v>-0.12486021805982661</v>
      </c>
      <c r="K168" s="187">
        <v>3.3670886075949369</v>
      </c>
      <c r="L168" s="188">
        <f t="shared" si="53"/>
        <v>1.0124967708602428</v>
      </c>
    </row>
    <row r="169" spans="2:12" x14ac:dyDescent="0.25">
      <c r="B169" s="116" t="s">
        <v>88</v>
      </c>
      <c r="C169" s="187">
        <v>2.5320623916811091</v>
      </c>
      <c r="D169" s="188" t="s">
        <v>239</v>
      </c>
      <c r="E169" s="187">
        <v>3.125248508946322</v>
      </c>
      <c r="F169" s="188">
        <f t="shared" si="54"/>
        <v>0.59318611726521286</v>
      </c>
      <c r="G169" s="187">
        <v>2.9655963302752295</v>
      </c>
      <c r="H169" s="188">
        <f t="shared" si="54"/>
        <v>-0.15965217867109249</v>
      </c>
      <c r="I169" s="187">
        <v>2.8313413014608235</v>
      </c>
      <c r="J169" s="188">
        <f t="shared" si="55"/>
        <v>-0.13425502881440599</v>
      </c>
      <c r="K169" s="187">
        <v>3.6976351351351351</v>
      </c>
      <c r="L169" s="188">
        <f t="shared" si="53"/>
        <v>0.86629383367431156</v>
      </c>
    </row>
    <row r="170" spans="2:12" x14ac:dyDescent="0.25">
      <c r="B170" s="116" t="s">
        <v>90</v>
      </c>
      <c r="C170" s="187">
        <v>3.0444444444444443</v>
      </c>
      <c r="D170" s="188">
        <v>0.51812865497076022</v>
      </c>
      <c r="E170" s="187">
        <v>3.7811735941320292</v>
      </c>
      <c r="F170" s="188">
        <f t="shared" si="54"/>
        <v>0.73672914968758496</v>
      </c>
      <c r="G170" s="187">
        <v>3.7306967984934087</v>
      </c>
      <c r="H170" s="188">
        <f t="shared" si="54"/>
        <v>-5.0476795638620509E-2</v>
      </c>
      <c r="I170" s="187">
        <v>4.3499520613614573</v>
      </c>
      <c r="J170" s="188">
        <f t="shared" si="55"/>
        <v>0.61925526286804855</v>
      </c>
      <c r="K170" s="187"/>
      <c r="L170" s="188"/>
    </row>
    <row r="171" spans="2:12" x14ac:dyDescent="0.25">
      <c r="B171" s="116" t="s">
        <v>92</v>
      </c>
      <c r="C171" s="187">
        <v>2.6835443037974684</v>
      </c>
      <c r="D171" s="188">
        <v>0.62529187661300245</v>
      </c>
      <c r="E171" s="187">
        <v>2.4781021897810218</v>
      </c>
      <c r="F171" s="188">
        <f t="shared" si="54"/>
        <v>-0.20544211401644663</v>
      </c>
      <c r="G171" s="187">
        <v>3.4807370184254607</v>
      </c>
      <c r="H171" s="188">
        <f t="shared" si="54"/>
        <v>1.0026348286444389</v>
      </c>
      <c r="I171" s="187">
        <v>3.2878998609179417</v>
      </c>
      <c r="J171" s="188">
        <f t="shared" si="55"/>
        <v>-0.19283715750751895</v>
      </c>
      <c r="K171" s="187"/>
      <c r="L171" s="188"/>
    </row>
    <row r="172" spans="2:12" x14ac:dyDescent="0.25">
      <c r="B172" s="116" t="s">
        <v>94</v>
      </c>
      <c r="C172" s="187">
        <v>2.5418641390205372</v>
      </c>
      <c r="D172" s="188">
        <v>0.78809529479943174</v>
      </c>
      <c r="E172" s="187">
        <v>2.3209366391184574</v>
      </c>
      <c r="F172" s="188">
        <f t="shared" si="54"/>
        <v>-0.22092749990207983</v>
      </c>
      <c r="G172" s="187">
        <v>2.5513196480938416</v>
      </c>
      <c r="H172" s="188">
        <f t="shared" si="54"/>
        <v>0.23038300897538422</v>
      </c>
      <c r="I172" s="187">
        <v>2.9884169884169882</v>
      </c>
      <c r="J172" s="188">
        <f t="shared" si="55"/>
        <v>0.43709734032314662</v>
      </c>
      <c r="K172" s="187"/>
      <c r="L172" s="188"/>
    </row>
    <row r="173" spans="2:12" x14ac:dyDescent="0.25">
      <c r="B173" s="116" t="s">
        <v>96</v>
      </c>
      <c r="C173" s="187">
        <v>2.5369515011547343</v>
      </c>
      <c r="D173" s="188">
        <v>0.63040944507996799</v>
      </c>
      <c r="E173" s="187">
        <v>2.8983739837398375</v>
      </c>
      <c r="F173" s="188">
        <f t="shared" si="54"/>
        <v>0.36142248258510312</v>
      </c>
      <c r="G173" s="187">
        <v>2.5370138017565873</v>
      </c>
      <c r="H173" s="188">
        <f t="shared" si="54"/>
        <v>-0.36136018198325015</v>
      </c>
      <c r="I173" s="187">
        <v>2.5429141716566868</v>
      </c>
      <c r="J173" s="188">
        <f t="shared" si="55"/>
        <v>5.9003699000994558E-3</v>
      </c>
      <c r="K173" s="187"/>
      <c r="L173" s="188"/>
    </row>
    <row r="174" spans="2:12" x14ac:dyDescent="0.25">
      <c r="B174" s="116" t="s">
        <v>98</v>
      </c>
      <c r="C174" s="187">
        <v>2.8218085106382977</v>
      </c>
      <c r="D174" s="188">
        <v>0.37508719916288769</v>
      </c>
      <c r="E174" s="187">
        <v>3.1310344827586207</v>
      </c>
      <c r="F174" s="188">
        <f t="shared" si="54"/>
        <v>0.30922597212032299</v>
      </c>
      <c r="G174" s="187">
        <v>2.7957497048406141</v>
      </c>
      <c r="H174" s="188">
        <f t="shared" si="54"/>
        <v>-0.33528477791800659</v>
      </c>
      <c r="I174" s="187">
        <v>2.6145077720207253</v>
      </c>
      <c r="J174" s="188">
        <f t="shared" si="55"/>
        <v>-0.18124193281988887</v>
      </c>
      <c r="K174" s="187"/>
      <c r="L174" s="188"/>
    </row>
    <row r="175" spans="2:12" ht="15.75" x14ac:dyDescent="0.25">
      <c r="B175" s="119" t="s">
        <v>32</v>
      </c>
      <c r="C175" s="189">
        <v>2.5581721334454723</v>
      </c>
      <c r="D175" s="190">
        <v>0.14454515478064112</v>
      </c>
      <c r="E175" s="189">
        <v>3.0485193621867883</v>
      </c>
      <c r="F175" s="190">
        <f t="shared" si="54"/>
        <v>0.49034722874131598</v>
      </c>
      <c r="G175" s="189">
        <v>3.0756958192616746</v>
      </c>
      <c r="H175" s="190">
        <f t="shared" si="54"/>
        <v>2.7176457074886251E-2</v>
      </c>
      <c r="I175" s="189">
        <v>2.8670023075309419</v>
      </c>
      <c r="J175" s="190">
        <f t="shared" si="55"/>
        <v>-0.20869351173073269</v>
      </c>
      <c r="K175" s="189">
        <v>2.7913231252453867</v>
      </c>
      <c r="L175" s="190">
        <v>0.19784659382136116</v>
      </c>
    </row>
    <row r="176" spans="2:12" ht="6" customHeight="1" x14ac:dyDescent="0.25"/>
    <row r="177" spans="1:13" x14ac:dyDescent="0.25">
      <c r="B177" s="107" t="s">
        <v>57</v>
      </c>
      <c r="C177" s="107"/>
      <c r="D177" s="107"/>
      <c r="E177" s="107"/>
      <c r="F177" s="107"/>
      <c r="G177" s="107"/>
      <c r="H177" s="107"/>
      <c r="I177" s="127"/>
      <c r="J177" s="107"/>
      <c r="K177" s="107"/>
      <c r="L177" s="107"/>
    </row>
    <row r="180" spans="1:13" ht="48.75" customHeight="1" thickBot="1" x14ac:dyDescent="0.3">
      <c r="B180" s="273" t="s">
        <v>304</v>
      </c>
      <c r="C180" s="273"/>
      <c r="D180" s="273"/>
      <c r="E180" s="273"/>
      <c r="F180" s="273"/>
      <c r="G180" s="273"/>
      <c r="H180" s="273"/>
      <c r="I180" s="273"/>
      <c r="J180" s="273"/>
      <c r="K180" s="273"/>
      <c r="L180" s="273"/>
      <c r="M180" s="1" t="s">
        <v>122</v>
      </c>
    </row>
    <row r="181" spans="1:13" ht="10.5" customHeight="1" thickBot="1" x14ac:dyDescent="0.3">
      <c r="B181" s="109"/>
      <c r="C181" s="110"/>
      <c r="D181" s="109"/>
      <c r="E181" s="109"/>
      <c r="F181" s="109"/>
      <c r="G181" s="109"/>
      <c r="H181" s="109"/>
      <c r="I181" s="109"/>
      <c r="J181" s="109"/>
      <c r="K181" s="4"/>
      <c r="L181" s="4"/>
      <c r="M181" s="1" t="s">
        <v>123</v>
      </c>
    </row>
    <row r="182" spans="1:13" ht="22.5" thickTop="1" thickBot="1" x14ac:dyDescent="0.3">
      <c r="B182" s="123" t="str">
        <f>C182</f>
        <v>Bélgica</v>
      </c>
      <c r="C182" s="298" t="s">
        <v>124</v>
      </c>
      <c r="D182" s="299"/>
      <c r="E182" s="299"/>
      <c r="F182" s="299"/>
      <c r="G182" s="299"/>
      <c r="H182" s="299"/>
      <c r="I182" s="299"/>
      <c r="J182" s="299"/>
      <c r="K182" s="299"/>
      <c r="L182" s="299"/>
    </row>
    <row r="183" spans="1:13" ht="22.5" thickTop="1" thickBot="1" x14ac:dyDescent="0.3">
      <c r="B183" s="112"/>
      <c r="C183" s="303">
        <f t="shared" ref="C183" si="56">E183-1</f>
        <v>2022</v>
      </c>
      <c r="D183" s="301"/>
      <c r="E183" s="300">
        <f t="shared" ref="E183" si="57">G183-1</f>
        <v>2023</v>
      </c>
      <c r="F183" s="301"/>
      <c r="G183" s="300">
        <f t="shared" ref="G183" si="58">I183-1</f>
        <v>2024</v>
      </c>
      <c r="H183" s="301"/>
      <c r="I183" s="300">
        <f>K183-1</f>
        <v>2025</v>
      </c>
      <c r="J183" s="301"/>
      <c r="K183" s="300">
        <v>2026</v>
      </c>
      <c r="L183" s="302"/>
    </row>
    <row r="184" spans="1:13" ht="16.5" thickTop="1" thickBot="1" x14ac:dyDescent="0.3">
      <c r="B184" s="87"/>
      <c r="C184" s="113" t="s">
        <v>74</v>
      </c>
      <c r="D184" s="114" t="str">
        <f>CONCATENATE("dif ",RIGHT(C183,2),"/",RIGHT(C183-1,2))</f>
        <v>dif 22/21</v>
      </c>
      <c r="E184" s="115" t="s">
        <v>74</v>
      </c>
      <c r="F184" s="114" t="str">
        <f>CONCATENATE("dif ",RIGHT(E183,2),"/",RIGHT(C183,2))</f>
        <v>dif 23/22</v>
      </c>
      <c r="G184" s="115" t="s">
        <v>74</v>
      </c>
      <c r="H184" s="114" t="str">
        <f>CONCATENATE("dif ",RIGHT(G183,2),"/",RIGHT(E183,2))</f>
        <v>dif 24/23</v>
      </c>
      <c r="I184" s="115" t="s">
        <v>74</v>
      </c>
      <c r="J184" s="114" t="str">
        <f>CONCATENATE("dif ",RIGHT(I183,2),"/",RIGHT(G183,2))</f>
        <v>dif 25/24</v>
      </c>
      <c r="K184" s="115" t="s">
        <v>74</v>
      </c>
      <c r="L184" s="114" t="str">
        <f>CONCATENATE("dif ",RIGHT(K183,2),"/",RIGHT(I183,2))</f>
        <v>dif 26/25</v>
      </c>
    </row>
    <row r="185" spans="1:13" x14ac:dyDescent="0.25">
      <c r="A185" s="122"/>
      <c r="B185" s="116" t="s">
        <v>76</v>
      </c>
      <c r="C185" s="187">
        <v>1.6046511627906976</v>
      </c>
      <c r="D185" s="188">
        <v>-0.77823172009218511</v>
      </c>
      <c r="E185" s="187">
        <v>2.5857740585774058</v>
      </c>
      <c r="F185" s="188">
        <f t="shared" ref="F185:H187" si="59">IFERROR(E185-C185,"-")</f>
        <v>0.98112289578670819</v>
      </c>
      <c r="G185" s="187">
        <v>2.8692579505300353</v>
      </c>
      <c r="H185" s="188">
        <f t="shared" si="59"/>
        <v>0.28348389195262946</v>
      </c>
      <c r="I185" s="187">
        <v>2.8328173374613002</v>
      </c>
      <c r="J185" s="188">
        <f t="shared" ref="J185:J187" si="60">IFERROR(I185-G185,"-")</f>
        <v>-3.6440613068735139E-2</v>
      </c>
      <c r="K185" s="187">
        <v>2.3111111111111109</v>
      </c>
      <c r="L185" s="188">
        <f t="shared" ref="L185:L191" si="61">IFERROR(K185-I185,"-")</f>
        <v>-0.52170622635018926</v>
      </c>
    </row>
    <row r="186" spans="1:13" x14ac:dyDescent="0.25">
      <c r="B186" s="116" t="s">
        <v>78</v>
      </c>
      <c r="C186" s="187">
        <v>2.2702702702702702</v>
      </c>
      <c r="D186" s="188">
        <v>2.0270270270270174E-2</v>
      </c>
      <c r="E186" s="187">
        <v>2.5750000000000002</v>
      </c>
      <c r="F186" s="188">
        <f t="shared" si="59"/>
        <v>0.30472972972973</v>
      </c>
      <c r="G186" s="187">
        <v>2.9292929292929295</v>
      </c>
      <c r="H186" s="188">
        <f t="shared" si="59"/>
        <v>0.35429292929292933</v>
      </c>
      <c r="I186" s="187">
        <v>2.6576576576576576</v>
      </c>
      <c r="J186" s="188">
        <f t="shared" si="60"/>
        <v>-0.2716352716352719</v>
      </c>
      <c r="K186" s="187">
        <v>2.7683823529411766</v>
      </c>
      <c r="L186" s="188">
        <f t="shared" si="61"/>
        <v>0.11072469528351903</v>
      </c>
    </row>
    <row r="187" spans="1:13" x14ac:dyDescent="0.25">
      <c r="B187" s="116" t="s">
        <v>80</v>
      </c>
      <c r="C187" s="187">
        <v>1.65625</v>
      </c>
      <c r="D187" s="188">
        <v>-1.3790441176470587</v>
      </c>
      <c r="E187" s="187">
        <v>4.1359223300970873</v>
      </c>
      <c r="F187" s="188">
        <f t="shared" si="59"/>
        <v>2.4796723300970873</v>
      </c>
      <c r="G187" s="187">
        <v>2.9226519337016574</v>
      </c>
      <c r="H187" s="188">
        <f t="shared" si="59"/>
        <v>-1.2132703963954299</v>
      </c>
      <c r="I187" s="187">
        <v>2.2459016393442623</v>
      </c>
      <c r="J187" s="188">
        <f t="shared" si="60"/>
        <v>-0.67675029435739509</v>
      </c>
      <c r="K187" s="187">
        <v>2.6934306569343067</v>
      </c>
      <c r="L187" s="188">
        <f t="shared" si="61"/>
        <v>0.44752901759004438</v>
      </c>
    </row>
    <row r="188" spans="1:13" x14ac:dyDescent="0.25">
      <c r="B188" s="116" t="s">
        <v>82</v>
      </c>
      <c r="C188" s="187">
        <v>1.8064516129032258</v>
      </c>
      <c r="D188" s="188" t="s">
        <v>239</v>
      </c>
      <c r="E188" s="187">
        <v>3.5714285714285716</v>
      </c>
      <c r="F188" s="188">
        <f>IFERROR(E188-C188,"-")</f>
        <v>1.7649769585253459</v>
      </c>
      <c r="G188" s="187">
        <v>4.037383177570093</v>
      </c>
      <c r="H188" s="188">
        <f>IFERROR(G188-E188,"-")</f>
        <v>0.4659546061415214</v>
      </c>
      <c r="I188" s="187">
        <v>2.1925925925925926</v>
      </c>
      <c r="J188" s="188">
        <f>IFERROR(I188-G188,"-")</f>
        <v>-1.8447905849775004</v>
      </c>
      <c r="K188" s="187">
        <v>3.4216867469879517</v>
      </c>
      <c r="L188" s="188">
        <f t="shared" si="61"/>
        <v>1.2290941543953591</v>
      </c>
    </row>
    <row r="189" spans="1:13" x14ac:dyDescent="0.25">
      <c r="B189" s="116" t="s">
        <v>84</v>
      </c>
      <c r="C189" s="187">
        <v>2.2323232323232323</v>
      </c>
      <c r="D189" s="188" t="s">
        <v>239</v>
      </c>
      <c r="E189" s="187">
        <v>2.8666666666666667</v>
      </c>
      <c r="F189" s="188">
        <f t="shared" ref="F189:H197" si="62">IFERROR(E189-C189,"-")</f>
        <v>0.63434343434343443</v>
      </c>
      <c r="G189" s="187">
        <v>2.7593984962406015</v>
      </c>
      <c r="H189" s="188">
        <f t="shared" si="62"/>
        <v>-0.10726817042606518</v>
      </c>
      <c r="I189" s="187">
        <v>2.5947712418300655</v>
      </c>
      <c r="J189" s="188">
        <f t="shared" ref="J189:J197" si="63">IFERROR(I189-G189,"-")</f>
        <v>-0.16462725441053605</v>
      </c>
      <c r="K189" s="187">
        <v>3.1</v>
      </c>
      <c r="L189" s="188">
        <f t="shared" si="61"/>
        <v>0.50522875816993462</v>
      </c>
    </row>
    <row r="190" spans="1:13" x14ac:dyDescent="0.25">
      <c r="B190" s="116" t="s">
        <v>125</v>
      </c>
      <c r="C190" s="187">
        <v>2.5396825396825395</v>
      </c>
      <c r="D190" s="188" t="s">
        <v>239</v>
      </c>
      <c r="E190" s="187">
        <v>2.5697674418604652</v>
      </c>
      <c r="F190" s="188">
        <f t="shared" si="62"/>
        <v>3.0084902177925699E-2</v>
      </c>
      <c r="G190" s="187">
        <v>2.324786324786325</v>
      </c>
      <c r="H190" s="188">
        <f t="shared" si="62"/>
        <v>-0.24498111707414028</v>
      </c>
      <c r="I190" s="187">
        <v>2.5315315315315314</v>
      </c>
      <c r="J190" s="188">
        <f t="shared" si="63"/>
        <v>0.20674520674520647</v>
      </c>
      <c r="K190" s="187">
        <v>2.7625000000000002</v>
      </c>
      <c r="L190" s="188">
        <f t="shared" si="61"/>
        <v>0.23096846846846875</v>
      </c>
    </row>
    <row r="191" spans="1:13" x14ac:dyDescent="0.25">
      <c r="B191" s="116" t="s">
        <v>88</v>
      </c>
      <c r="C191" s="187">
        <v>2.5662650602409638</v>
      </c>
      <c r="D191" s="188" t="s">
        <v>239</v>
      </c>
      <c r="E191" s="187">
        <v>2.9117647058823528</v>
      </c>
      <c r="F191" s="188">
        <f t="shared" si="62"/>
        <v>0.34549964564138902</v>
      </c>
      <c r="G191" s="187">
        <v>2.6422764227642275</v>
      </c>
      <c r="H191" s="188">
        <f t="shared" si="62"/>
        <v>-0.26948828311812534</v>
      </c>
      <c r="I191" s="187">
        <v>3.4086021505376345</v>
      </c>
      <c r="J191" s="188">
        <f t="shared" si="63"/>
        <v>0.76632572777340702</v>
      </c>
      <c r="K191" s="187">
        <v>2.9096385542168677</v>
      </c>
      <c r="L191" s="188">
        <f t="shared" si="61"/>
        <v>-0.49896359632076681</v>
      </c>
    </row>
    <row r="192" spans="1:13" x14ac:dyDescent="0.25">
      <c r="B192" s="116" t="s">
        <v>90</v>
      </c>
      <c r="C192" s="187">
        <v>2.8058252427184467</v>
      </c>
      <c r="D192" s="188">
        <v>0.23439667128987507</v>
      </c>
      <c r="E192" s="187">
        <v>3.4957983193277311</v>
      </c>
      <c r="F192" s="188">
        <f t="shared" si="62"/>
        <v>0.68997307660928442</v>
      </c>
      <c r="G192" s="187">
        <v>4.1339285714285712</v>
      </c>
      <c r="H192" s="188">
        <f t="shared" si="62"/>
        <v>0.63813025210084007</v>
      </c>
      <c r="I192" s="187">
        <v>2.3281853281853282</v>
      </c>
      <c r="J192" s="188">
        <f t="shared" si="63"/>
        <v>-1.805743243243243</v>
      </c>
      <c r="K192" s="187"/>
      <c r="L192" s="188"/>
    </row>
    <row r="193" spans="2:13" x14ac:dyDescent="0.25">
      <c r="B193" s="116" t="s">
        <v>92</v>
      </c>
      <c r="C193" s="187">
        <v>2.9885057471264367</v>
      </c>
      <c r="D193" s="188">
        <v>1.0966138552345448</v>
      </c>
      <c r="E193" s="187">
        <v>2.8235294117647061</v>
      </c>
      <c r="F193" s="188">
        <f t="shared" si="62"/>
        <v>-0.16497633536173062</v>
      </c>
      <c r="G193" s="187">
        <v>3.06993006993007</v>
      </c>
      <c r="H193" s="188">
        <f t="shared" si="62"/>
        <v>0.24640065816536394</v>
      </c>
      <c r="I193" s="187">
        <v>3.317241379310345</v>
      </c>
      <c r="J193" s="188">
        <f t="shared" si="63"/>
        <v>0.24731130938027501</v>
      </c>
      <c r="K193" s="187"/>
      <c r="L193" s="188"/>
    </row>
    <row r="194" spans="2:13" x14ac:dyDescent="0.25">
      <c r="B194" s="116" t="s">
        <v>94</v>
      </c>
      <c r="C194" s="187">
        <v>2.3220338983050848</v>
      </c>
      <c r="D194" s="188">
        <v>-0.46520014424810663</v>
      </c>
      <c r="E194" s="187">
        <v>2.8175182481751824</v>
      </c>
      <c r="F194" s="188">
        <f t="shared" si="62"/>
        <v>0.4954843498700976</v>
      </c>
      <c r="G194" s="187">
        <v>2.3806451612903228</v>
      </c>
      <c r="H194" s="188">
        <f t="shared" si="62"/>
        <v>-0.4368730868848596</v>
      </c>
      <c r="I194" s="187">
        <v>2.9246231155778895</v>
      </c>
      <c r="J194" s="188">
        <f t="shared" si="63"/>
        <v>0.54397795428756668</v>
      </c>
      <c r="K194" s="187"/>
      <c r="L194" s="188"/>
    </row>
    <row r="195" spans="2:13" x14ac:dyDescent="0.25">
      <c r="B195" s="116" t="s">
        <v>96</v>
      </c>
      <c r="C195" s="187">
        <v>2.6972704714640199</v>
      </c>
      <c r="D195" s="188">
        <v>0.97797222584998478</v>
      </c>
      <c r="E195" s="187">
        <v>3.5201465201465201</v>
      </c>
      <c r="F195" s="188">
        <f t="shared" si="62"/>
        <v>0.82287604868250019</v>
      </c>
      <c r="G195" s="187">
        <v>2.2638297872340427</v>
      </c>
      <c r="H195" s="188">
        <f t="shared" si="62"/>
        <v>-1.2563167329124774</v>
      </c>
      <c r="I195" s="187">
        <v>2.5864197530864197</v>
      </c>
      <c r="J195" s="188">
        <f t="shared" si="63"/>
        <v>0.32258996585237698</v>
      </c>
      <c r="K195" s="187"/>
      <c r="L195" s="188"/>
    </row>
    <row r="196" spans="2:13" x14ac:dyDescent="0.25">
      <c r="B196" s="116" t="s">
        <v>98</v>
      </c>
      <c r="C196" s="187">
        <v>2.7487437185929648</v>
      </c>
      <c r="D196" s="188">
        <v>0.14063561048485695</v>
      </c>
      <c r="E196" s="187">
        <v>2.9561403508771931</v>
      </c>
      <c r="F196" s="188">
        <f t="shared" si="62"/>
        <v>0.20739663228422822</v>
      </c>
      <c r="G196" s="187">
        <v>2.6193548387096772</v>
      </c>
      <c r="H196" s="188">
        <f t="shared" si="62"/>
        <v>-0.33678551216751584</v>
      </c>
      <c r="I196" s="187">
        <v>2.6566666666666667</v>
      </c>
      <c r="J196" s="188">
        <f t="shared" si="63"/>
        <v>3.7311827956989507E-2</v>
      </c>
      <c r="K196" s="187"/>
      <c r="L196" s="188"/>
    </row>
    <row r="197" spans="2:13" ht="15.75" x14ac:dyDescent="0.25">
      <c r="B197" s="119" t="s">
        <v>32</v>
      </c>
      <c r="C197" s="189">
        <v>2.5423728813559321</v>
      </c>
      <c r="D197" s="190">
        <v>0.17907238874509446</v>
      </c>
      <c r="E197" s="189">
        <v>3.1059431524547803</v>
      </c>
      <c r="F197" s="190">
        <f t="shared" si="62"/>
        <v>0.56357027109884816</v>
      </c>
      <c r="G197" s="189">
        <v>2.8288030519790177</v>
      </c>
      <c r="H197" s="190">
        <f t="shared" si="62"/>
        <v>-0.27714010047576254</v>
      </c>
      <c r="I197" s="189">
        <v>2.6870078740157481</v>
      </c>
      <c r="J197" s="190">
        <f t="shared" si="63"/>
        <v>-0.14179517796326957</v>
      </c>
      <c r="K197" s="189">
        <v>2.7862481315396113</v>
      </c>
      <c r="L197" s="190">
        <v>0.1023182000849272</v>
      </c>
    </row>
    <row r="198" spans="2:13" ht="6" customHeight="1" x14ac:dyDescent="0.25"/>
    <row r="199" spans="2:13" x14ac:dyDescent="0.25">
      <c r="B199" s="107" t="s">
        <v>57</v>
      </c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</row>
    <row r="200" spans="2:13" x14ac:dyDescent="0.25">
      <c r="I200" s="122"/>
    </row>
    <row r="201" spans="2:13" x14ac:dyDescent="0.25">
      <c r="C201" s="81"/>
      <c r="D201" s="81"/>
      <c r="E201" s="81"/>
      <c r="F201" s="81"/>
      <c r="G201" s="81"/>
      <c r="H201" s="81"/>
      <c r="I201" s="81"/>
      <c r="J201" s="81"/>
      <c r="K201" s="81"/>
      <c r="L201" s="81"/>
    </row>
    <row r="202" spans="2:13" ht="48.75" customHeight="1" thickBot="1" x14ac:dyDescent="0.3">
      <c r="B202" s="273" t="s">
        <v>305</v>
      </c>
      <c r="C202" s="273"/>
      <c r="D202" s="273"/>
      <c r="E202" s="273"/>
      <c r="F202" s="273"/>
      <c r="G202" s="273"/>
      <c r="H202" s="273"/>
      <c r="I202" s="273"/>
      <c r="J202" s="273"/>
      <c r="K202" s="273"/>
      <c r="L202" s="273"/>
      <c r="M202" s="1" t="s">
        <v>126</v>
      </c>
    </row>
    <row r="203" spans="2:13" ht="10.5" customHeight="1" thickBot="1" x14ac:dyDescent="0.3">
      <c r="B203" s="109"/>
      <c r="C203" s="110"/>
      <c r="D203" s="109"/>
      <c r="E203" s="109"/>
      <c r="F203" s="109"/>
      <c r="G203" s="109"/>
      <c r="H203" s="109"/>
      <c r="I203" s="109"/>
      <c r="J203" s="109"/>
      <c r="K203" s="4"/>
      <c r="L203" s="4"/>
      <c r="M203" s="1" t="s">
        <v>127</v>
      </c>
    </row>
    <row r="204" spans="2:13" ht="22.5" thickTop="1" thickBot="1" x14ac:dyDescent="0.3">
      <c r="B204" s="123" t="str">
        <f>C204</f>
        <v>Países Bajos</v>
      </c>
      <c r="C204" s="298" t="s">
        <v>128</v>
      </c>
      <c r="D204" s="299"/>
      <c r="E204" s="299"/>
      <c r="F204" s="299"/>
      <c r="G204" s="299"/>
      <c r="H204" s="299"/>
      <c r="I204" s="299"/>
      <c r="J204" s="299"/>
      <c r="K204" s="299"/>
      <c r="L204" s="299"/>
    </row>
    <row r="205" spans="2:13" ht="22.5" thickTop="1" thickBot="1" x14ac:dyDescent="0.3">
      <c r="B205" s="112"/>
      <c r="C205" s="303">
        <f t="shared" ref="C205" si="64">E205-1</f>
        <v>2022</v>
      </c>
      <c r="D205" s="301"/>
      <c r="E205" s="300">
        <f t="shared" ref="E205" si="65">G205-1</f>
        <v>2023</v>
      </c>
      <c r="F205" s="301"/>
      <c r="G205" s="300">
        <f t="shared" ref="G205" si="66">I205-1</f>
        <v>2024</v>
      </c>
      <c r="H205" s="301"/>
      <c r="I205" s="300">
        <f>K205-1</f>
        <v>2025</v>
      </c>
      <c r="J205" s="301"/>
      <c r="K205" s="300">
        <v>2026</v>
      </c>
      <c r="L205" s="302"/>
    </row>
    <row r="206" spans="2:13" ht="16.5" thickTop="1" thickBot="1" x14ac:dyDescent="0.3">
      <c r="B206" s="87"/>
      <c r="C206" s="113" t="s">
        <v>74</v>
      </c>
      <c r="D206" s="114" t="str">
        <f>CONCATENATE("dif ",RIGHT(C205,2),"/",RIGHT(C205-1,2))</f>
        <v>dif 22/21</v>
      </c>
      <c r="E206" s="115" t="s">
        <v>74</v>
      </c>
      <c r="F206" s="114" t="str">
        <f>CONCATENATE("dif ",RIGHT(E205,2),"/",RIGHT(C205,2))</f>
        <v>dif 23/22</v>
      </c>
      <c r="G206" s="115" t="s">
        <v>74</v>
      </c>
      <c r="H206" s="114" t="str">
        <f>CONCATENATE("dif ",RIGHT(G205,2),"/",RIGHT(E205,2))</f>
        <v>dif 24/23</v>
      </c>
      <c r="I206" s="115" t="s">
        <v>74</v>
      </c>
      <c r="J206" s="114" t="str">
        <f>CONCATENATE("dif ",RIGHT(I205,2),"/",RIGHT(G205,2))</f>
        <v>dif 25/24</v>
      </c>
      <c r="K206" s="115" t="s">
        <v>74</v>
      </c>
      <c r="L206" s="114" t="str">
        <f>CONCATENATE("dif ",RIGHT(K205,2),"/",RIGHT(I205,2))</f>
        <v>dif 26/25</v>
      </c>
    </row>
    <row r="207" spans="2:13" x14ac:dyDescent="0.25">
      <c r="B207" s="116" t="s">
        <v>76</v>
      </c>
      <c r="C207" s="187">
        <v>2.1052631578947367</v>
      </c>
      <c r="D207" s="188">
        <v>-0.75620870357712455</v>
      </c>
      <c r="E207" s="187">
        <v>2.8249158249158248</v>
      </c>
      <c r="F207" s="188">
        <f t="shared" ref="F207:H209" si="67">IFERROR(E207-C207,"-")</f>
        <v>0.7196526670210881</v>
      </c>
      <c r="G207" s="187">
        <v>3.3443223443223444</v>
      </c>
      <c r="H207" s="188">
        <f t="shared" si="67"/>
        <v>0.51940651940651961</v>
      </c>
      <c r="I207" s="187">
        <v>2.9627659574468086</v>
      </c>
      <c r="J207" s="188">
        <f t="shared" ref="J207:J209" si="68">IFERROR(I207-G207,"-")</f>
        <v>-0.38155638687553584</v>
      </c>
      <c r="K207" s="187">
        <v>2.7064935064935063</v>
      </c>
      <c r="L207" s="188">
        <f t="shared" ref="L207:L213" si="69">IFERROR(K207-I207,"-")</f>
        <v>-0.25627245095330231</v>
      </c>
    </row>
    <row r="208" spans="2:13" x14ac:dyDescent="0.25">
      <c r="B208" s="116" t="s">
        <v>78</v>
      </c>
      <c r="C208" s="187">
        <v>1.4772727272727273</v>
      </c>
      <c r="D208" s="188">
        <v>-0.61575052854122636</v>
      </c>
      <c r="E208" s="187">
        <v>2.4600760456273765</v>
      </c>
      <c r="F208" s="188">
        <f t="shared" si="67"/>
        <v>0.98280331835464918</v>
      </c>
      <c r="G208" s="187">
        <v>2.4355828220858897</v>
      </c>
      <c r="H208" s="188">
        <f t="shared" si="67"/>
        <v>-2.4493223541486753E-2</v>
      </c>
      <c r="I208" s="187">
        <v>2.8980263157894739</v>
      </c>
      <c r="J208" s="188">
        <f t="shared" si="68"/>
        <v>0.46244349370358417</v>
      </c>
      <c r="K208" s="187">
        <v>2.6038251366120218</v>
      </c>
      <c r="L208" s="188">
        <f t="shared" si="69"/>
        <v>-0.29420117917745214</v>
      </c>
    </row>
    <row r="209" spans="2:13" x14ac:dyDescent="0.25">
      <c r="B209" s="116" t="s">
        <v>80</v>
      </c>
      <c r="C209" s="187">
        <v>2.4565217391304346</v>
      </c>
      <c r="D209" s="188">
        <v>-1.2614063338701076E-2</v>
      </c>
      <c r="E209" s="187">
        <v>2.6113360323886639</v>
      </c>
      <c r="F209" s="188">
        <f t="shared" si="67"/>
        <v>0.15481429325822926</v>
      </c>
      <c r="G209" s="187">
        <v>3.1333333333333333</v>
      </c>
      <c r="H209" s="188">
        <f t="shared" si="67"/>
        <v>0.52199730094466945</v>
      </c>
      <c r="I209" s="187">
        <v>2.6015936254980079</v>
      </c>
      <c r="J209" s="188">
        <f t="shared" si="68"/>
        <v>-0.53173970783532543</v>
      </c>
      <c r="K209" s="187">
        <v>3.1124999999999998</v>
      </c>
      <c r="L209" s="188">
        <f t="shared" si="69"/>
        <v>0.51090637450199194</v>
      </c>
    </row>
    <row r="210" spans="2:13" x14ac:dyDescent="0.25">
      <c r="B210" s="116" t="s">
        <v>82</v>
      </c>
      <c r="C210" s="187">
        <v>1.8571428571428572</v>
      </c>
      <c r="D210" s="188" t="s">
        <v>239</v>
      </c>
      <c r="E210" s="187">
        <v>3.0125000000000002</v>
      </c>
      <c r="F210" s="188">
        <f>IFERROR(E210-C210,"-")</f>
        <v>1.155357142857143</v>
      </c>
      <c r="G210" s="187">
        <v>2.8167539267015709</v>
      </c>
      <c r="H210" s="188">
        <f>IFERROR(G210-E210,"-")</f>
        <v>-0.1957460732984293</v>
      </c>
      <c r="I210" s="187">
        <v>2.8721804511278197</v>
      </c>
      <c r="J210" s="188">
        <f>IFERROR(I210-G210,"-")</f>
        <v>5.5426524426248847E-2</v>
      </c>
      <c r="K210" s="187">
        <v>2.6422018348623855</v>
      </c>
      <c r="L210" s="188">
        <f t="shared" si="69"/>
        <v>-0.22997861626543425</v>
      </c>
    </row>
    <row r="211" spans="2:13" x14ac:dyDescent="0.25">
      <c r="B211" s="116" t="s">
        <v>84</v>
      </c>
      <c r="C211" s="187">
        <v>1.6206896551724137</v>
      </c>
      <c r="D211" s="188" t="s">
        <v>239</v>
      </c>
      <c r="E211" s="187">
        <v>2.6937500000000001</v>
      </c>
      <c r="F211" s="188">
        <f t="shared" ref="F211:H219" si="70">IFERROR(E211-C211,"-")</f>
        <v>1.0730603448275864</v>
      </c>
      <c r="G211" s="187">
        <v>3.6575342465753424</v>
      </c>
      <c r="H211" s="188">
        <f t="shared" si="70"/>
        <v>0.96378424657534234</v>
      </c>
      <c r="I211" s="187">
        <v>3.2900763358778624</v>
      </c>
      <c r="J211" s="188">
        <f t="shared" ref="J211:J219" si="71">IFERROR(I211-G211,"-")</f>
        <v>-0.36745791069748002</v>
      </c>
      <c r="K211" s="187">
        <v>2.9022556390977443</v>
      </c>
      <c r="L211" s="188">
        <f t="shared" si="69"/>
        <v>-0.3878206967801181</v>
      </c>
    </row>
    <row r="212" spans="2:13" x14ac:dyDescent="0.25">
      <c r="B212" s="116" t="s">
        <v>86</v>
      </c>
      <c r="C212" s="187">
        <v>2.5921052631578947</v>
      </c>
      <c r="D212" s="188" t="s">
        <v>239</v>
      </c>
      <c r="E212" s="187">
        <v>2.6162790697674421</v>
      </c>
      <c r="F212" s="188">
        <f t="shared" si="70"/>
        <v>2.4173806609547377E-2</v>
      </c>
      <c r="G212" s="187">
        <v>2.592233009708738</v>
      </c>
      <c r="H212" s="188">
        <f t="shared" si="70"/>
        <v>-2.4046060058704022E-2</v>
      </c>
      <c r="I212" s="187">
        <v>3.4951456310679609</v>
      </c>
      <c r="J212" s="188">
        <f t="shared" si="71"/>
        <v>0.9029126213592229</v>
      </c>
      <c r="K212" s="187">
        <v>3.7647058823529411</v>
      </c>
      <c r="L212" s="188">
        <f t="shared" si="69"/>
        <v>0.26956025128498018</v>
      </c>
    </row>
    <row r="213" spans="2:13" x14ac:dyDescent="0.25">
      <c r="B213" s="116" t="s">
        <v>88</v>
      </c>
      <c r="C213" s="187">
        <v>3.2180451127819549</v>
      </c>
      <c r="D213" s="188" t="s">
        <v>239</v>
      </c>
      <c r="E213" s="187">
        <v>1.9636963696369636</v>
      </c>
      <c r="F213" s="188">
        <f t="shared" si="70"/>
        <v>-1.2543487431449913</v>
      </c>
      <c r="G213" s="187">
        <v>2.952054794520548</v>
      </c>
      <c r="H213" s="188">
        <f t="shared" si="70"/>
        <v>0.98835842488358439</v>
      </c>
      <c r="I213" s="187">
        <v>4.0338164251207731</v>
      </c>
      <c r="J213" s="188">
        <f t="shared" si="71"/>
        <v>1.0817616306002251</v>
      </c>
      <c r="K213" s="187">
        <v>3.8601036269430051</v>
      </c>
      <c r="L213" s="188">
        <f t="shared" si="69"/>
        <v>-0.17371279817776797</v>
      </c>
    </row>
    <row r="214" spans="2:13" x14ac:dyDescent="0.25">
      <c r="B214" s="116" t="s">
        <v>90</v>
      </c>
      <c r="C214" s="187">
        <v>4.07</v>
      </c>
      <c r="D214" s="188">
        <v>2.4658333333333333</v>
      </c>
      <c r="E214" s="187">
        <v>3.0769230769230771</v>
      </c>
      <c r="F214" s="188">
        <f t="shared" si="70"/>
        <v>-0.99307692307692319</v>
      </c>
      <c r="G214" s="187">
        <v>5.062176165803109</v>
      </c>
      <c r="H214" s="188">
        <f t="shared" si="70"/>
        <v>1.9852530888800319</v>
      </c>
      <c r="I214" s="187">
        <v>4.6287128712871288</v>
      </c>
      <c r="J214" s="188">
        <f t="shared" si="71"/>
        <v>-0.4334632945159802</v>
      </c>
      <c r="K214" s="187"/>
      <c r="L214" s="188"/>
    </row>
    <row r="215" spans="2:13" x14ac:dyDescent="0.25">
      <c r="B215" s="116" t="s">
        <v>92</v>
      </c>
      <c r="C215" s="187">
        <v>2.6967213114754101</v>
      </c>
      <c r="D215" s="188">
        <v>1.1704055220017258</v>
      </c>
      <c r="E215" s="187">
        <v>3.9452054794520546</v>
      </c>
      <c r="F215" s="188">
        <f t="shared" si="70"/>
        <v>1.2484841679766445</v>
      </c>
      <c r="G215" s="187">
        <v>3.4752475247524752</v>
      </c>
      <c r="H215" s="188">
        <f t="shared" si="70"/>
        <v>-0.46995795469957935</v>
      </c>
      <c r="I215" s="187">
        <v>3.6882129277566542</v>
      </c>
      <c r="J215" s="188">
        <f t="shared" si="71"/>
        <v>0.21296540300417899</v>
      </c>
      <c r="K215" s="187"/>
      <c r="L215" s="188"/>
    </row>
    <row r="216" spans="2:13" x14ac:dyDescent="0.25">
      <c r="B216" s="116" t="s">
        <v>94</v>
      </c>
      <c r="C216" s="187">
        <v>2.4550898203592815</v>
      </c>
      <c r="D216" s="188">
        <v>0.88842315369261482</v>
      </c>
      <c r="E216" s="187">
        <v>2.8269230769230771</v>
      </c>
      <c r="F216" s="188">
        <f t="shared" si="70"/>
        <v>0.37183325656379562</v>
      </c>
      <c r="G216" s="187">
        <v>4.169354838709677</v>
      </c>
      <c r="H216" s="188">
        <f t="shared" si="70"/>
        <v>1.3424317617866</v>
      </c>
      <c r="I216" s="187">
        <v>3.274193548387097</v>
      </c>
      <c r="J216" s="188">
        <f t="shared" si="71"/>
        <v>-0.89516129032258007</v>
      </c>
      <c r="K216" s="187"/>
      <c r="L216" s="188"/>
    </row>
    <row r="217" spans="2:13" x14ac:dyDescent="0.25">
      <c r="B217" s="116" t="s">
        <v>96</v>
      </c>
      <c r="C217" s="187">
        <v>2.8636363636363638</v>
      </c>
      <c r="D217" s="188">
        <v>0.17613636363636376</v>
      </c>
      <c r="E217" s="187">
        <v>2.8129251700680271</v>
      </c>
      <c r="F217" s="188">
        <f t="shared" si="70"/>
        <v>-5.0711193568336643E-2</v>
      </c>
      <c r="G217" s="187">
        <v>2.3783783783783785</v>
      </c>
      <c r="H217" s="188">
        <f t="shared" si="70"/>
        <v>-0.4345467916896486</v>
      </c>
      <c r="I217" s="187">
        <v>2.4775641025641026</v>
      </c>
      <c r="J217" s="188">
        <f t="shared" si="71"/>
        <v>9.9185724185724133E-2</v>
      </c>
      <c r="K217" s="187"/>
      <c r="L217" s="188"/>
    </row>
    <row r="218" spans="2:13" x14ac:dyDescent="0.25">
      <c r="B218" s="116" t="s">
        <v>98</v>
      </c>
      <c r="C218" s="187">
        <v>2.9883720930232558</v>
      </c>
      <c r="D218" s="188">
        <v>0.63953488372093004</v>
      </c>
      <c r="E218" s="187">
        <v>3.3711340206185567</v>
      </c>
      <c r="F218" s="188">
        <f t="shared" si="70"/>
        <v>0.38276192759530092</v>
      </c>
      <c r="G218" s="187">
        <v>3.0121457489878543</v>
      </c>
      <c r="H218" s="188">
        <f t="shared" si="70"/>
        <v>-0.35898827163070246</v>
      </c>
      <c r="I218" s="187">
        <v>2.7315436241610738</v>
      </c>
      <c r="J218" s="188">
        <f t="shared" si="71"/>
        <v>-0.28060212482678049</v>
      </c>
      <c r="K218" s="187"/>
      <c r="L218" s="188"/>
    </row>
    <row r="219" spans="2:13" ht="15.75" x14ac:dyDescent="0.25">
      <c r="B219" s="119" t="s">
        <v>32</v>
      </c>
      <c r="C219" s="189">
        <v>2.7591897974493622</v>
      </c>
      <c r="D219" s="190">
        <v>0.35867959336772959</v>
      </c>
      <c r="E219" s="189">
        <v>2.8096321577550247</v>
      </c>
      <c r="F219" s="190">
        <f t="shared" si="70"/>
        <v>5.0442360305662515E-2</v>
      </c>
      <c r="G219" s="189">
        <v>3.1528013582342953</v>
      </c>
      <c r="H219" s="190">
        <f t="shared" si="70"/>
        <v>0.34316920047927058</v>
      </c>
      <c r="I219" s="189">
        <v>3.1659436008676791</v>
      </c>
      <c r="J219" s="190">
        <f t="shared" si="71"/>
        <v>1.3142242633383816E-2</v>
      </c>
      <c r="K219" s="189">
        <v>2.9754426042261564</v>
      </c>
      <c r="L219" s="190">
        <v>-0.11824510341503958</v>
      </c>
    </row>
    <row r="220" spans="2:13" ht="6" customHeight="1" x14ac:dyDescent="0.25"/>
    <row r="221" spans="2:13" x14ac:dyDescent="0.25">
      <c r="B221" s="107" t="s">
        <v>57</v>
      </c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</row>
    <row r="222" spans="2:13" x14ac:dyDescent="0.25">
      <c r="I222" s="122"/>
      <c r="K222" s="125"/>
    </row>
    <row r="224" spans="2:13" ht="48.75" customHeight="1" thickBot="1" x14ac:dyDescent="0.3">
      <c r="B224" s="273" t="s">
        <v>304</v>
      </c>
      <c r="C224" s="273"/>
      <c r="D224" s="273"/>
      <c r="E224" s="273"/>
      <c r="F224" s="273"/>
      <c r="G224" s="273"/>
      <c r="H224" s="273"/>
      <c r="I224" s="273"/>
      <c r="J224" s="273"/>
      <c r="K224" s="273"/>
      <c r="L224" s="273"/>
      <c r="M224" s="1" t="s">
        <v>129</v>
      </c>
    </row>
    <row r="225" spans="2:13" ht="10.5" customHeight="1" thickBot="1" x14ac:dyDescent="0.3">
      <c r="B225" s="109"/>
      <c r="C225" s="110"/>
      <c r="D225" s="109"/>
      <c r="E225" s="109"/>
      <c r="F225" s="109"/>
      <c r="G225" s="109"/>
      <c r="H225" s="109"/>
      <c r="I225" s="109"/>
      <c r="J225" s="109"/>
      <c r="K225" s="4"/>
      <c r="L225" s="4"/>
      <c r="M225" s="1" t="s">
        <v>130</v>
      </c>
    </row>
    <row r="226" spans="2:13" ht="22.5" thickTop="1" thickBot="1" x14ac:dyDescent="0.3">
      <c r="B226" s="123" t="str">
        <f>C226</f>
        <v>Bélgica</v>
      </c>
      <c r="C226" s="298" t="s">
        <v>124</v>
      </c>
      <c r="D226" s="299"/>
      <c r="E226" s="299"/>
      <c r="F226" s="299"/>
      <c r="G226" s="299"/>
      <c r="H226" s="299"/>
      <c r="I226" s="299"/>
      <c r="J226" s="299"/>
      <c r="K226" s="299"/>
      <c r="L226" s="299"/>
    </row>
    <row r="227" spans="2:13" ht="22.5" thickTop="1" thickBot="1" x14ac:dyDescent="0.3">
      <c r="B227" s="112"/>
      <c r="C227" s="303">
        <f t="shared" ref="C227" si="72">E227-1</f>
        <v>2022</v>
      </c>
      <c r="D227" s="301"/>
      <c r="E227" s="300">
        <f t="shared" ref="E227" si="73">G227-1</f>
        <v>2023</v>
      </c>
      <c r="F227" s="301"/>
      <c r="G227" s="300">
        <f t="shared" ref="G227" si="74">I227-1</f>
        <v>2024</v>
      </c>
      <c r="H227" s="301"/>
      <c r="I227" s="300">
        <f>K227-1</f>
        <v>2025</v>
      </c>
      <c r="J227" s="301"/>
      <c r="K227" s="300">
        <v>2026</v>
      </c>
      <c r="L227" s="302"/>
    </row>
    <row r="228" spans="2:13" ht="16.5" thickTop="1" thickBot="1" x14ac:dyDescent="0.3">
      <c r="B228" s="87"/>
      <c r="C228" s="113" t="s">
        <v>74</v>
      </c>
      <c r="D228" s="114" t="str">
        <f>CONCATENATE("dif ",RIGHT(C227,2),"/",RIGHT(C227-1,2))</f>
        <v>dif 22/21</v>
      </c>
      <c r="E228" s="115" t="s">
        <v>74</v>
      </c>
      <c r="F228" s="114" t="str">
        <f>CONCATENATE("dif ",RIGHT(E227,2),"/",RIGHT(C227,2))</f>
        <v>dif 23/22</v>
      </c>
      <c r="G228" s="115" t="s">
        <v>74</v>
      </c>
      <c r="H228" s="114" t="str">
        <f>CONCATENATE("dif ",RIGHT(G227,2),"/",RIGHT(E227,2))</f>
        <v>dif 24/23</v>
      </c>
      <c r="I228" s="115" t="s">
        <v>74</v>
      </c>
      <c r="J228" s="114" t="str">
        <f>CONCATENATE("dif ",RIGHT(I227,2),"/",RIGHT(G227,2))</f>
        <v>dif 25/24</v>
      </c>
      <c r="K228" s="115" t="s">
        <v>74</v>
      </c>
      <c r="L228" s="114" t="str">
        <f>CONCATENATE("dif ",RIGHT(K227,2),"/",RIGHT(I227,2))</f>
        <v>dif 26/25</v>
      </c>
    </row>
    <row r="229" spans="2:13" x14ac:dyDescent="0.25">
      <c r="B229" s="116" t="s">
        <v>76</v>
      </c>
      <c r="C229" s="187">
        <v>1.6046511627906976</v>
      </c>
      <c r="D229" s="188">
        <v>-0.77823172009218511</v>
      </c>
      <c r="E229" s="187">
        <v>2.5857740585774058</v>
      </c>
      <c r="F229" s="188">
        <f t="shared" ref="F229:H231" si="75">IFERROR(E229-C229,"-")</f>
        <v>0.98112289578670819</v>
      </c>
      <c r="G229" s="187">
        <v>2.8692579505300353</v>
      </c>
      <c r="H229" s="188">
        <f t="shared" si="75"/>
        <v>0.28348389195262946</v>
      </c>
      <c r="I229" s="187">
        <v>2.8328173374613002</v>
      </c>
      <c r="J229" s="188">
        <f t="shared" ref="J229:J231" si="76">IFERROR(I229-G229,"-")</f>
        <v>-3.6440613068735139E-2</v>
      </c>
      <c r="K229" s="187">
        <v>2.3111111111111109</v>
      </c>
      <c r="L229" s="188">
        <f t="shared" ref="L229:L235" si="77">IFERROR(K229-I229,"-")</f>
        <v>-0.52170622635018926</v>
      </c>
    </row>
    <row r="230" spans="2:13" x14ac:dyDescent="0.25">
      <c r="B230" s="116" t="s">
        <v>78</v>
      </c>
      <c r="C230" s="187">
        <v>2.2702702702702702</v>
      </c>
      <c r="D230" s="188">
        <v>2.0270270270270174E-2</v>
      </c>
      <c r="E230" s="187">
        <v>2.5750000000000002</v>
      </c>
      <c r="F230" s="188">
        <f t="shared" si="75"/>
        <v>0.30472972972973</v>
      </c>
      <c r="G230" s="187">
        <v>2.9292929292929295</v>
      </c>
      <c r="H230" s="188">
        <f t="shared" si="75"/>
        <v>0.35429292929292933</v>
      </c>
      <c r="I230" s="187">
        <v>2.6576576576576576</v>
      </c>
      <c r="J230" s="188">
        <f t="shared" si="76"/>
        <v>-0.2716352716352719</v>
      </c>
      <c r="K230" s="187">
        <v>2.7683823529411766</v>
      </c>
      <c r="L230" s="188">
        <f t="shared" si="77"/>
        <v>0.11072469528351903</v>
      </c>
    </row>
    <row r="231" spans="2:13" x14ac:dyDescent="0.25">
      <c r="B231" s="116" t="s">
        <v>80</v>
      </c>
      <c r="C231" s="187">
        <v>1.65625</v>
      </c>
      <c r="D231" s="188">
        <v>-1.3790441176470587</v>
      </c>
      <c r="E231" s="187">
        <v>4.1359223300970873</v>
      </c>
      <c r="F231" s="188">
        <f t="shared" si="75"/>
        <v>2.4796723300970873</v>
      </c>
      <c r="G231" s="187">
        <v>2.9226519337016574</v>
      </c>
      <c r="H231" s="188">
        <f t="shared" si="75"/>
        <v>-1.2132703963954299</v>
      </c>
      <c r="I231" s="187">
        <v>2.2459016393442623</v>
      </c>
      <c r="J231" s="188">
        <f t="shared" si="76"/>
        <v>-0.67675029435739509</v>
      </c>
      <c r="K231" s="187">
        <v>2.6934306569343067</v>
      </c>
      <c r="L231" s="188">
        <f t="shared" si="77"/>
        <v>0.44752901759004438</v>
      </c>
    </row>
    <row r="232" spans="2:13" x14ac:dyDescent="0.25">
      <c r="B232" s="116" t="s">
        <v>82</v>
      </c>
      <c r="C232" s="187">
        <v>1.8064516129032258</v>
      </c>
      <c r="D232" s="188" t="s">
        <v>239</v>
      </c>
      <c r="E232" s="187">
        <v>3.5714285714285716</v>
      </c>
      <c r="F232" s="188">
        <f>IFERROR(E232-C232,"-")</f>
        <v>1.7649769585253459</v>
      </c>
      <c r="G232" s="187">
        <v>4.037383177570093</v>
      </c>
      <c r="H232" s="188">
        <f>IFERROR(G232-E232,"-")</f>
        <v>0.4659546061415214</v>
      </c>
      <c r="I232" s="187">
        <v>2.1925925925925926</v>
      </c>
      <c r="J232" s="188">
        <f>IFERROR(I232-G232,"-")</f>
        <v>-1.8447905849775004</v>
      </c>
      <c r="K232" s="187">
        <v>3.4216867469879517</v>
      </c>
      <c r="L232" s="188">
        <f t="shared" si="77"/>
        <v>1.2290941543953591</v>
      </c>
    </row>
    <row r="233" spans="2:13" x14ac:dyDescent="0.25">
      <c r="B233" s="116" t="s">
        <v>84</v>
      </c>
      <c r="C233" s="187">
        <v>2.2323232323232323</v>
      </c>
      <c r="D233" s="188" t="s">
        <v>239</v>
      </c>
      <c r="E233" s="187">
        <v>2.8666666666666667</v>
      </c>
      <c r="F233" s="188">
        <f t="shared" ref="F233:H241" si="78">IFERROR(E233-C233,"-")</f>
        <v>0.63434343434343443</v>
      </c>
      <c r="G233" s="187">
        <v>2.7593984962406015</v>
      </c>
      <c r="H233" s="188">
        <f t="shared" si="78"/>
        <v>-0.10726817042606518</v>
      </c>
      <c r="I233" s="187">
        <v>2.5947712418300655</v>
      </c>
      <c r="J233" s="188">
        <f t="shared" ref="J233:J241" si="79">IFERROR(I233-G233,"-")</f>
        <v>-0.16462725441053605</v>
      </c>
      <c r="K233" s="187">
        <v>3.1</v>
      </c>
      <c r="L233" s="188">
        <f t="shared" si="77"/>
        <v>0.50522875816993462</v>
      </c>
    </row>
    <row r="234" spans="2:13" x14ac:dyDescent="0.25">
      <c r="B234" s="116" t="s">
        <v>86</v>
      </c>
      <c r="C234" s="187">
        <v>2.5396825396825395</v>
      </c>
      <c r="D234" s="188" t="s">
        <v>239</v>
      </c>
      <c r="E234" s="187">
        <v>2.5697674418604652</v>
      </c>
      <c r="F234" s="188">
        <f t="shared" si="78"/>
        <v>3.0084902177925699E-2</v>
      </c>
      <c r="G234" s="187">
        <v>2.324786324786325</v>
      </c>
      <c r="H234" s="188">
        <f t="shared" si="78"/>
        <v>-0.24498111707414028</v>
      </c>
      <c r="I234" s="187">
        <v>2.5315315315315314</v>
      </c>
      <c r="J234" s="188">
        <f t="shared" si="79"/>
        <v>0.20674520674520647</v>
      </c>
      <c r="K234" s="187">
        <v>2.7625000000000002</v>
      </c>
      <c r="L234" s="188">
        <f t="shared" si="77"/>
        <v>0.23096846846846875</v>
      </c>
    </row>
    <row r="235" spans="2:13" x14ac:dyDescent="0.25">
      <c r="B235" s="116" t="s">
        <v>88</v>
      </c>
      <c r="C235" s="187">
        <v>2.5662650602409638</v>
      </c>
      <c r="D235" s="188" t="s">
        <v>239</v>
      </c>
      <c r="E235" s="187">
        <v>2.9117647058823528</v>
      </c>
      <c r="F235" s="188">
        <f t="shared" si="78"/>
        <v>0.34549964564138902</v>
      </c>
      <c r="G235" s="187">
        <v>2.6422764227642275</v>
      </c>
      <c r="H235" s="188">
        <f t="shared" si="78"/>
        <v>-0.26948828311812534</v>
      </c>
      <c r="I235" s="187">
        <v>3.4086021505376345</v>
      </c>
      <c r="J235" s="188">
        <f t="shared" si="79"/>
        <v>0.76632572777340702</v>
      </c>
      <c r="K235" s="187">
        <v>2.9096385542168677</v>
      </c>
      <c r="L235" s="188">
        <f t="shared" si="77"/>
        <v>-0.49896359632076681</v>
      </c>
    </row>
    <row r="236" spans="2:13" x14ac:dyDescent="0.25">
      <c r="B236" s="116" t="s">
        <v>90</v>
      </c>
      <c r="C236" s="187">
        <v>2.8058252427184467</v>
      </c>
      <c r="D236" s="188">
        <v>0.23439667128987507</v>
      </c>
      <c r="E236" s="187">
        <v>3.4957983193277311</v>
      </c>
      <c r="F236" s="188">
        <f t="shared" si="78"/>
        <v>0.68997307660928442</v>
      </c>
      <c r="G236" s="187">
        <v>4.1339285714285712</v>
      </c>
      <c r="H236" s="188">
        <f t="shared" si="78"/>
        <v>0.63813025210084007</v>
      </c>
      <c r="I236" s="187">
        <v>2.3281853281853282</v>
      </c>
      <c r="J236" s="188">
        <f t="shared" si="79"/>
        <v>-1.805743243243243</v>
      </c>
      <c r="K236" s="187"/>
      <c r="L236" s="188"/>
    </row>
    <row r="237" spans="2:13" x14ac:dyDescent="0.25">
      <c r="B237" s="116" t="s">
        <v>92</v>
      </c>
      <c r="C237" s="187">
        <v>2.9885057471264367</v>
      </c>
      <c r="D237" s="188">
        <v>1.0966138552345448</v>
      </c>
      <c r="E237" s="187">
        <v>2.8235294117647061</v>
      </c>
      <c r="F237" s="188">
        <f t="shared" si="78"/>
        <v>-0.16497633536173062</v>
      </c>
      <c r="G237" s="187">
        <v>3.06993006993007</v>
      </c>
      <c r="H237" s="188">
        <f t="shared" si="78"/>
        <v>0.24640065816536394</v>
      </c>
      <c r="I237" s="187">
        <v>3.317241379310345</v>
      </c>
      <c r="J237" s="188">
        <f t="shared" si="79"/>
        <v>0.24731130938027501</v>
      </c>
      <c r="K237" s="187"/>
      <c r="L237" s="188"/>
    </row>
    <row r="238" spans="2:13" x14ac:dyDescent="0.25">
      <c r="B238" s="116" t="s">
        <v>94</v>
      </c>
      <c r="C238" s="187">
        <v>2.3220338983050848</v>
      </c>
      <c r="D238" s="188">
        <v>-0.46520014424810663</v>
      </c>
      <c r="E238" s="187">
        <v>2.8175182481751824</v>
      </c>
      <c r="F238" s="188">
        <f t="shared" si="78"/>
        <v>0.4954843498700976</v>
      </c>
      <c r="G238" s="187">
        <v>2.3806451612903228</v>
      </c>
      <c r="H238" s="188">
        <f t="shared" si="78"/>
        <v>-0.4368730868848596</v>
      </c>
      <c r="I238" s="187">
        <v>2.9246231155778895</v>
      </c>
      <c r="J238" s="188">
        <f t="shared" si="79"/>
        <v>0.54397795428756668</v>
      </c>
      <c r="K238" s="187"/>
      <c r="L238" s="188"/>
    </row>
    <row r="239" spans="2:13" x14ac:dyDescent="0.25">
      <c r="B239" s="116" t="s">
        <v>96</v>
      </c>
      <c r="C239" s="187">
        <v>2.6972704714640199</v>
      </c>
      <c r="D239" s="188">
        <v>0.97797222584998478</v>
      </c>
      <c r="E239" s="187">
        <v>3.5201465201465201</v>
      </c>
      <c r="F239" s="188">
        <f t="shared" si="78"/>
        <v>0.82287604868250019</v>
      </c>
      <c r="G239" s="187">
        <v>2.2638297872340427</v>
      </c>
      <c r="H239" s="188">
        <f t="shared" si="78"/>
        <v>-1.2563167329124774</v>
      </c>
      <c r="I239" s="187">
        <v>2.5864197530864197</v>
      </c>
      <c r="J239" s="188">
        <f t="shared" si="79"/>
        <v>0.32258996585237698</v>
      </c>
      <c r="K239" s="187"/>
      <c r="L239" s="188"/>
    </row>
    <row r="240" spans="2:13" x14ac:dyDescent="0.25">
      <c r="B240" s="116" t="s">
        <v>98</v>
      </c>
      <c r="C240" s="187">
        <v>2.7487437185929648</v>
      </c>
      <c r="D240" s="188">
        <v>0.14063561048485695</v>
      </c>
      <c r="E240" s="187">
        <v>2.9561403508771931</v>
      </c>
      <c r="F240" s="188">
        <f t="shared" si="78"/>
        <v>0.20739663228422822</v>
      </c>
      <c r="G240" s="187">
        <v>2.6193548387096772</v>
      </c>
      <c r="H240" s="188">
        <f t="shared" si="78"/>
        <v>-0.33678551216751584</v>
      </c>
      <c r="I240" s="187">
        <v>2.6566666666666667</v>
      </c>
      <c r="J240" s="188">
        <f t="shared" si="79"/>
        <v>3.7311827956989507E-2</v>
      </c>
      <c r="K240" s="187"/>
      <c r="L240" s="188"/>
    </row>
    <row r="241" spans="2:13" ht="15.75" x14ac:dyDescent="0.25">
      <c r="B241" s="119" t="s">
        <v>32</v>
      </c>
      <c r="C241" s="189">
        <v>2.5423728813559321</v>
      </c>
      <c r="D241" s="190">
        <v>0.17907238874509446</v>
      </c>
      <c r="E241" s="189">
        <v>3.1059431524547803</v>
      </c>
      <c r="F241" s="190">
        <f t="shared" si="78"/>
        <v>0.56357027109884816</v>
      </c>
      <c r="G241" s="189">
        <v>2.8288030519790177</v>
      </c>
      <c r="H241" s="190">
        <f t="shared" si="78"/>
        <v>-0.27714010047576254</v>
      </c>
      <c r="I241" s="189">
        <v>2.6870078740157481</v>
      </c>
      <c r="J241" s="190">
        <f t="shared" si="79"/>
        <v>-0.14179517796326957</v>
      </c>
      <c r="K241" s="189">
        <v>2.7862481315396113</v>
      </c>
      <c r="L241" s="190">
        <v>0.1023182000849272</v>
      </c>
    </row>
    <row r="242" spans="2:13" ht="6" customHeight="1" x14ac:dyDescent="0.25"/>
    <row r="243" spans="2:13" x14ac:dyDescent="0.25">
      <c r="B243" s="107" t="s">
        <v>57</v>
      </c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</row>
    <row r="244" spans="2:13" x14ac:dyDescent="0.25">
      <c r="C244" s="122"/>
      <c r="I244" s="122"/>
      <c r="K244" s="107"/>
    </row>
    <row r="246" spans="2:13" ht="48.75" customHeight="1" thickBot="1" x14ac:dyDescent="0.3">
      <c r="B246" s="273" t="s">
        <v>306</v>
      </c>
      <c r="C246" s="273"/>
      <c r="D246" s="273"/>
      <c r="E246" s="273"/>
      <c r="F246" s="273"/>
      <c r="G246" s="273"/>
      <c r="H246" s="273"/>
      <c r="I246" s="273"/>
      <c r="J246" s="273"/>
      <c r="K246" s="273"/>
      <c r="L246" s="273"/>
      <c r="M246" s="1" t="s">
        <v>131</v>
      </c>
    </row>
    <row r="247" spans="2:13" ht="10.5" customHeight="1" thickBot="1" x14ac:dyDescent="0.3">
      <c r="B247" s="109"/>
      <c r="C247" s="110"/>
      <c r="D247" s="109"/>
      <c r="E247" s="109"/>
      <c r="F247" s="109"/>
      <c r="G247" s="109"/>
      <c r="H247" s="109"/>
      <c r="I247" s="109"/>
      <c r="J247" s="109"/>
      <c r="K247" s="4"/>
      <c r="L247" s="4"/>
      <c r="M247" s="1" t="s">
        <v>132</v>
      </c>
    </row>
    <row r="248" spans="2:13" ht="22.5" thickTop="1" thickBot="1" x14ac:dyDescent="0.3">
      <c r="B248" s="123" t="str">
        <f>C248</f>
        <v>Dinamarca</v>
      </c>
      <c r="C248" s="298" t="s">
        <v>133</v>
      </c>
      <c r="D248" s="299"/>
      <c r="E248" s="299"/>
      <c r="F248" s="299"/>
      <c r="G248" s="299"/>
      <c r="H248" s="299"/>
      <c r="I248" s="299"/>
      <c r="J248" s="299"/>
      <c r="K248" s="299"/>
      <c r="L248" s="299"/>
    </row>
    <row r="249" spans="2:13" ht="22.5" thickTop="1" thickBot="1" x14ac:dyDescent="0.3">
      <c r="B249" s="112"/>
      <c r="C249" s="303">
        <f t="shared" ref="C249" si="80">E249-1</f>
        <v>2022</v>
      </c>
      <c r="D249" s="301"/>
      <c r="E249" s="300">
        <f t="shared" ref="E249" si="81">G249-1</f>
        <v>2023</v>
      </c>
      <c r="F249" s="301"/>
      <c r="G249" s="300">
        <f t="shared" ref="G249" si="82">I249-1</f>
        <v>2024</v>
      </c>
      <c r="H249" s="301"/>
      <c r="I249" s="300">
        <f>K249-1</f>
        <v>2025</v>
      </c>
      <c r="J249" s="301"/>
      <c r="K249" s="300">
        <v>2026</v>
      </c>
      <c r="L249" s="302"/>
    </row>
    <row r="250" spans="2:13" ht="16.5" thickTop="1" thickBot="1" x14ac:dyDescent="0.3">
      <c r="B250" s="87"/>
      <c r="C250" s="113" t="s">
        <v>74</v>
      </c>
      <c r="D250" s="114" t="str">
        <f>CONCATENATE("dif ",RIGHT(C249,2),"/",RIGHT(C249-1,2))</f>
        <v>dif 22/21</v>
      </c>
      <c r="E250" s="115" t="s">
        <v>74</v>
      </c>
      <c r="F250" s="114" t="str">
        <f>CONCATENATE("dif ",RIGHT(E249,2),"/",RIGHT(C249,2))</f>
        <v>dif 23/22</v>
      </c>
      <c r="G250" s="115" t="s">
        <v>74</v>
      </c>
      <c r="H250" s="114" t="str">
        <f>CONCATENATE("dif ",RIGHT(G249,2),"/",RIGHT(E249,2))</f>
        <v>dif 24/23</v>
      </c>
      <c r="I250" s="115" t="s">
        <v>74</v>
      </c>
      <c r="J250" s="114" t="str">
        <f>CONCATENATE("dif ",RIGHT(I249,2),"/",RIGHT(G249,2))</f>
        <v>dif 25/24</v>
      </c>
      <c r="K250" s="115" t="s">
        <v>74</v>
      </c>
      <c r="L250" s="114" t="str">
        <f>CONCATENATE("dif ",RIGHT(K249,2),"/",RIGHT(I249,2))</f>
        <v>dif 26/25</v>
      </c>
    </row>
    <row r="251" spans="2:13" x14ac:dyDescent="0.25">
      <c r="B251" s="116" t="s">
        <v>76</v>
      </c>
      <c r="C251" s="187">
        <v>2</v>
      </c>
      <c r="D251" s="188">
        <v>-0.45182724252491679</v>
      </c>
      <c r="E251" s="187">
        <v>2.7947368421052632</v>
      </c>
      <c r="F251" s="188">
        <f t="shared" ref="F251:H253" si="83">IFERROR(E251-C251,"-")</f>
        <v>0.79473684210526319</v>
      </c>
      <c r="G251" s="187">
        <v>3.1305970149253732</v>
      </c>
      <c r="H251" s="188">
        <f t="shared" si="83"/>
        <v>0.33586017282011005</v>
      </c>
      <c r="I251" s="187">
        <v>2.7339901477832513</v>
      </c>
      <c r="J251" s="188">
        <f t="shared" ref="J251:J253" si="84">IFERROR(I251-G251,"-")</f>
        <v>-0.3966068671421219</v>
      </c>
      <c r="K251" s="187">
        <v>3.5687500000000001</v>
      </c>
      <c r="L251" s="188">
        <f t="shared" ref="L251:L257" si="85">IFERROR(K251-I251,"-")</f>
        <v>0.83475985221674875</v>
      </c>
    </row>
    <row r="252" spans="2:13" x14ac:dyDescent="0.25">
      <c r="B252" s="116" t="s">
        <v>78</v>
      </c>
      <c r="C252" s="187">
        <v>2</v>
      </c>
      <c r="D252" s="188">
        <v>-0.42990654205607459</v>
      </c>
      <c r="E252" s="187">
        <v>2.5424836601307188</v>
      </c>
      <c r="F252" s="188">
        <f t="shared" si="83"/>
        <v>0.5424836601307188</v>
      </c>
      <c r="G252" s="187">
        <v>2.8382978723404255</v>
      </c>
      <c r="H252" s="188">
        <f t="shared" si="83"/>
        <v>0.29581421220970672</v>
      </c>
      <c r="I252" s="187">
        <v>2.1507537688442211</v>
      </c>
      <c r="J252" s="188">
        <f t="shared" si="84"/>
        <v>-0.68754410349620443</v>
      </c>
      <c r="K252" s="187">
        <v>3.377049180327869</v>
      </c>
      <c r="L252" s="188">
        <f t="shared" si="85"/>
        <v>1.226295411483648</v>
      </c>
    </row>
    <row r="253" spans="2:13" x14ac:dyDescent="0.25">
      <c r="B253" s="116" t="s">
        <v>80</v>
      </c>
      <c r="C253" s="187">
        <v>2.25</v>
      </c>
      <c r="D253" s="188">
        <v>-0.54999999999999982</v>
      </c>
      <c r="E253" s="187">
        <v>2.0378787878787881</v>
      </c>
      <c r="F253" s="188">
        <f t="shared" si="83"/>
        <v>-0.21212121212121193</v>
      </c>
      <c r="G253" s="187">
        <v>2.6414141414141414</v>
      </c>
      <c r="H253" s="188">
        <f t="shared" si="83"/>
        <v>0.60353535353535337</v>
      </c>
      <c r="I253" s="187">
        <v>2.7602739726027399</v>
      </c>
      <c r="J253" s="188">
        <f t="shared" si="84"/>
        <v>0.11885983118859844</v>
      </c>
      <c r="K253" s="187">
        <v>2.7647058823529411</v>
      </c>
      <c r="L253" s="188">
        <f t="shared" si="85"/>
        <v>4.4319097502012461E-3</v>
      </c>
    </row>
    <row r="254" spans="2:13" x14ac:dyDescent="0.25">
      <c r="B254" s="116" t="s">
        <v>82</v>
      </c>
      <c r="C254" s="187">
        <v>2.1111111111111112</v>
      </c>
      <c r="D254" s="188" t="s">
        <v>239</v>
      </c>
      <c r="E254" s="187">
        <v>1.7355371900826446</v>
      </c>
      <c r="F254" s="188">
        <f>IFERROR(E254-C254,"-")</f>
        <v>-0.37557392102846654</v>
      </c>
      <c r="G254" s="187">
        <v>2.0952380952380953</v>
      </c>
      <c r="H254" s="188">
        <f>IFERROR(G254-E254,"-")</f>
        <v>0.35970090515545072</v>
      </c>
      <c r="I254" s="187">
        <v>2.2439024390243905</v>
      </c>
      <c r="J254" s="188">
        <f>IFERROR(I254-G254,"-")</f>
        <v>0.14866434378629512</v>
      </c>
      <c r="K254" s="187">
        <v>2.5897435897435899</v>
      </c>
      <c r="L254" s="188">
        <f t="shared" si="85"/>
        <v>0.34584115071919941</v>
      </c>
    </row>
    <row r="255" spans="2:13" x14ac:dyDescent="0.25">
      <c r="B255" s="116" t="s">
        <v>84</v>
      </c>
      <c r="C255" s="187">
        <v>1.3571428571428572</v>
      </c>
      <c r="D255" s="188" t="s">
        <v>239</v>
      </c>
      <c r="E255" s="187">
        <v>2.4285714285714284</v>
      </c>
      <c r="F255" s="188">
        <f t="shared" ref="F255:H263" si="86">IFERROR(E255-C255,"-")</f>
        <v>1.0714285714285712</v>
      </c>
      <c r="G255" s="187">
        <v>2.8461538461538463</v>
      </c>
      <c r="H255" s="188">
        <f t="shared" si="86"/>
        <v>0.41758241758241788</v>
      </c>
      <c r="I255" s="187">
        <v>2</v>
      </c>
      <c r="J255" s="188">
        <f t="shared" ref="J255:J263" si="87">IFERROR(I255-G255,"-")</f>
        <v>-0.84615384615384626</v>
      </c>
      <c r="K255" s="187">
        <v>3.2272727272727271</v>
      </c>
      <c r="L255" s="188">
        <f t="shared" si="85"/>
        <v>1.2272727272727271</v>
      </c>
    </row>
    <row r="256" spans="2:13" x14ac:dyDescent="0.25">
      <c r="B256" s="116" t="s">
        <v>86</v>
      </c>
      <c r="C256" s="187">
        <v>5</v>
      </c>
      <c r="D256" s="188" t="s">
        <v>239</v>
      </c>
      <c r="E256" s="187">
        <v>6.2307692307692308</v>
      </c>
      <c r="F256" s="188">
        <f t="shared" si="86"/>
        <v>1.2307692307692308</v>
      </c>
      <c r="G256" s="187">
        <v>5.8461538461538458</v>
      </c>
      <c r="H256" s="188">
        <f t="shared" si="86"/>
        <v>-0.38461538461538503</v>
      </c>
      <c r="I256" s="187">
        <v>2.7777777777777777</v>
      </c>
      <c r="J256" s="188">
        <f t="shared" si="87"/>
        <v>-3.0683760683760681</v>
      </c>
      <c r="K256" s="187">
        <v>6.1538461538461542</v>
      </c>
      <c r="L256" s="188">
        <f t="shared" si="85"/>
        <v>3.3760683760683765</v>
      </c>
    </row>
    <row r="257" spans="2:13" x14ac:dyDescent="0.25">
      <c r="B257" s="116" t="s">
        <v>88</v>
      </c>
      <c r="C257" s="187">
        <v>4.0370370370370372</v>
      </c>
      <c r="D257" s="188" t="s">
        <v>239</v>
      </c>
      <c r="E257" s="187">
        <v>5.615384615384615</v>
      </c>
      <c r="F257" s="188">
        <f t="shared" si="86"/>
        <v>1.5783475783475778</v>
      </c>
      <c r="G257" s="187">
        <v>6.9347826086956523</v>
      </c>
      <c r="H257" s="188">
        <f t="shared" si="86"/>
        <v>1.3193979933110374</v>
      </c>
      <c r="I257" s="187">
        <v>2.6842105263157894</v>
      </c>
      <c r="J257" s="188">
        <f t="shared" si="87"/>
        <v>-4.2505720823798629</v>
      </c>
      <c r="K257" s="187">
        <v>1.6153846153846154</v>
      </c>
      <c r="L257" s="188">
        <f t="shared" si="85"/>
        <v>-1.068825910931174</v>
      </c>
    </row>
    <row r="258" spans="2:13" x14ac:dyDescent="0.25">
      <c r="B258" s="116" t="s">
        <v>90</v>
      </c>
      <c r="C258" s="187">
        <v>3.6</v>
      </c>
      <c r="D258" s="188">
        <v>2.0285714285714285</v>
      </c>
      <c r="E258" s="187">
        <v>7.0909090909090908</v>
      </c>
      <c r="F258" s="188">
        <f t="shared" si="86"/>
        <v>3.4909090909090907</v>
      </c>
      <c r="G258" s="187">
        <v>5.666666666666667</v>
      </c>
      <c r="H258" s="188">
        <f t="shared" si="86"/>
        <v>-1.4242424242424239</v>
      </c>
      <c r="I258" s="187">
        <v>4.5909090909090908</v>
      </c>
      <c r="J258" s="188">
        <f t="shared" si="87"/>
        <v>-1.0757575757575761</v>
      </c>
      <c r="K258" s="187"/>
      <c r="L258" s="188"/>
    </row>
    <row r="259" spans="2:13" x14ac:dyDescent="0.25">
      <c r="B259" s="116" t="s">
        <v>92</v>
      </c>
      <c r="C259" s="187">
        <v>3.4117647058823528</v>
      </c>
      <c r="D259" s="188" t="s">
        <v>239</v>
      </c>
      <c r="E259" s="187">
        <v>4.8571428571428568</v>
      </c>
      <c r="F259" s="188">
        <f t="shared" si="86"/>
        <v>1.445378151260504</v>
      </c>
      <c r="G259" s="187">
        <v>2.2916666666666665</v>
      </c>
      <c r="H259" s="188">
        <f t="shared" si="86"/>
        <v>-2.5654761904761902</v>
      </c>
      <c r="I259" s="187">
        <v>3.75</v>
      </c>
      <c r="J259" s="188">
        <f t="shared" si="87"/>
        <v>1.4583333333333335</v>
      </c>
      <c r="K259" s="187"/>
      <c r="L259" s="188"/>
    </row>
    <row r="260" spans="2:13" x14ac:dyDescent="0.25">
      <c r="B260" s="116" t="s">
        <v>94</v>
      </c>
      <c r="C260" s="187">
        <v>2.2935779816513762</v>
      </c>
      <c r="D260" s="188">
        <v>-0.70642201834862384</v>
      </c>
      <c r="E260" s="187">
        <v>1.9391304347826086</v>
      </c>
      <c r="F260" s="188">
        <f t="shared" si="86"/>
        <v>-0.35444754686876756</v>
      </c>
      <c r="G260" s="187">
        <v>2.2410714285714284</v>
      </c>
      <c r="H260" s="188">
        <f t="shared" si="86"/>
        <v>0.30194099378881978</v>
      </c>
      <c r="I260" s="187">
        <v>2.2830188679245285</v>
      </c>
      <c r="J260" s="188">
        <f t="shared" si="87"/>
        <v>4.194743935310008E-2</v>
      </c>
      <c r="K260" s="187"/>
      <c r="L260" s="188"/>
    </row>
    <row r="261" spans="2:13" x14ac:dyDescent="0.25">
      <c r="B261" s="116" t="s">
        <v>96</v>
      </c>
      <c r="C261" s="187">
        <v>2.5089820359281436</v>
      </c>
      <c r="D261" s="188">
        <v>0.87261839956450715</v>
      </c>
      <c r="E261" s="187">
        <v>2.5141242937853105</v>
      </c>
      <c r="F261" s="188">
        <f t="shared" si="86"/>
        <v>5.142257857166932E-3</v>
      </c>
      <c r="G261" s="187">
        <v>2.1355932203389831</v>
      </c>
      <c r="H261" s="188">
        <f t="shared" si="86"/>
        <v>-0.37853107344632742</v>
      </c>
      <c r="I261" s="187">
        <v>2.552941176470588</v>
      </c>
      <c r="J261" s="188">
        <f t="shared" si="87"/>
        <v>0.41734795613160491</v>
      </c>
      <c r="K261" s="187"/>
      <c r="L261" s="188"/>
    </row>
    <row r="262" spans="2:13" x14ac:dyDescent="0.25">
      <c r="B262" s="116" t="s">
        <v>98</v>
      </c>
      <c r="C262" s="187">
        <v>2.5635359116022101</v>
      </c>
      <c r="D262" s="188">
        <v>0.93853591160221006</v>
      </c>
      <c r="E262" s="187">
        <v>2.3510638297872339</v>
      </c>
      <c r="F262" s="188">
        <f t="shared" si="86"/>
        <v>-0.21247208181497612</v>
      </c>
      <c r="G262" s="187">
        <v>2.3860759493670884</v>
      </c>
      <c r="H262" s="188">
        <f t="shared" si="86"/>
        <v>3.5012119579854506E-2</v>
      </c>
      <c r="I262" s="187">
        <v>3.1875</v>
      </c>
      <c r="J262" s="188">
        <f t="shared" si="87"/>
        <v>0.80142405063291156</v>
      </c>
      <c r="K262" s="187"/>
      <c r="L262" s="188"/>
    </row>
    <row r="263" spans="2:13" ht="15.75" x14ac:dyDescent="0.25">
      <c r="B263" s="119" t="s">
        <v>32</v>
      </c>
      <c r="C263" s="189">
        <v>2.5981981981981983</v>
      </c>
      <c r="D263" s="190">
        <v>8.934864067607462E-2</v>
      </c>
      <c r="E263" s="189">
        <v>2.613263785394933</v>
      </c>
      <c r="F263" s="190">
        <f t="shared" si="86"/>
        <v>1.5065587196734676E-2</v>
      </c>
      <c r="G263" s="189">
        <v>2.901049475262369</v>
      </c>
      <c r="H263" s="190">
        <f t="shared" si="86"/>
        <v>0.28778568986743602</v>
      </c>
      <c r="I263" s="189">
        <v>2.6648936170212765</v>
      </c>
      <c r="J263" s="190">
        <f t="shared" si="87"/>
        <v>-0.23615585824109253</v>
      </c>
      <c r="K263" s="189">
        <v>3.1992409867172675</v>
      </c>
      <c r="L263" s="190">
        <v>0.69429049166776258</v>
      </c>
    </row>
    <row r="264" spans="2:13" ht="6" customHeight="1" x14ac:dyDescent="0.25"/>
    <row r="265" spans="2:13" x14ac:dyDescent="0.25">
      <c r="B265" s="107" t="s">
        <v>57</v>
      </c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</row>
    <row r="266" spans="2:13" x14ac:dyDescent="0.25">
      <c r="I266" s="122"/>
    </row>
    <row r="268" spans="2:13" ht="48.75" customHeight="1" thickBot="1" x14ac:dyDescent="0.3">
      <c r="B268" s="273" t="s">
        <v>307</v>
      </c>
      <c r="C268" s="273"/>
      <c r="D268" s="273"/>
      <c r="E268" s="273"/>
      <c r="F268" s="273"/>
      <c r="G268" s="273"/>
      <c r="H268" s="273"/>
      <c r="I268" s="273"/>
      <c r="J268" s="273"/>
      <c r="K268" s="273"/>
      <c r="L268" s="273"/>
      <c r="M268" s="1" t="s">
        <v>134</v>
      </c>
    </row>
    <row r="269" spans="2:13" ht="10.5" customHeight="1" thickBot="1" x14ac:dyDescent="0.3">
      <c r="B269" s="109"/>
      <c r="C269" s="110"/>
      <c r="D269" s="109"/>
      <c r="E269" s="109"/>
      <c r="F269" s="109"/>
      <c r="G269" s="109"/>
      <c r="H269" s="109"/>
      <c r="I269" s="109"/>
      <c r="J269" s="109"/>
      <c r="K269" s="4"/>
      <c r="L269" s="4"/>
      <c r="M269" s="1" t="s">
        <v>135</v>
      </c>
    </row>
    <row r="270" spans="2:13" ht="22.5" thickTop="1" thickBot="1" x14ac:dyDescent="0.3">
      <c r="B270" s="123" t="str">
        <f>C270</f>
        <v>Suecia</v>
      </c>
      <c r="C270" s="298" t="s">
        <v>136</v>
      </c>
      <c r="D270" s="299"/>
      <c r="E270" s="299"/>
      <c r="F270" s="299"/>
      <c r="G270" s="299"/>
      <c r="H270" s="299"/>
      <c r="I270" s="299"/>
      <c r="J270" s="299"/>
      <c r="K270" s="299"/>
      <c r="L270" s="299"/>
    </row>
    <row r="271" spans="2:13" ht="22.5" thickTop="1" thickBot="1" x14ac:dyDescent="0.3">
      <c r="B271" s="112"/>
      <c r="C271" s="303">
        <f t="shared" ref="C271" si="88">E271-1</f>
        <v>2022</v>
      </c>
      <c r="D271" s="301"/>
      <c r="E271" s="300">
        <f t="shared" ref="E271" si="89">G271-1</f>
        <v>2023</v>
      </c>
      <c r="F271" s="301"/>
      <c r="G271" s="300">
        <f t="shared" ref="G271" si="90">I271-1</f>
        <v>2024</v>
      </c>
      <c r="H271" s="301"/>
      <c r="I271" s="300">
        <f>K271-1</f>
        <v>2025</v>
      </c>
      <c r="J271" s="301"/>
      <c r="K271" s="300">
        <v>2026</v>
      </c>
      <c r="L271" s="302"/>
    </row>
    <row r="272" spans="2:13" ht="16.5" thickTop="1" thickBot="1" x14ac:dyDescent="0.3">
      <c r="B272" s="87"/>
      <c r="C272" s="113" t="s">
        <v>74</v>
      </c>
      <c r="D272" s="114" t="str">
        <f>CONCATENATE("dif ",RIGHT(C271,2),"/",RIGHT(C271-1,2))</f>
        <v>dif 22/21</v>
      </c>
      <c r="E272" s="115" t="s">
        <v>74</v>
      </c>
      <c r="F272" s="114" t="str">
        <f>CONCATENATE("dif ",RIGHT(E271,2),"/",RIGHT(C271,2))</f>
        <v>dif 23/22</v>
      </c>
      <c r="G272" s="115" t="s">
        <v>74</v>
      </c>
      <c r="H272" s="114" t="str">
        <f>CONCATENATE("dif ",RIGHT(G271,2),"/",RIGHT(E271,2))</f>
        <v>dif 24/23</v>
      </c>
      <c r="I272" s="115" t="s">
        <v>74</v>
      </c>
      <c r="J272" s="114" t="str">
        <f>CONCATENATE("dif ",RIGHT(I271,2),"/",RIGHT(G271,2))</f>
        <v>dif 25/24</v>
      </c>
      <c r="K272" s="115" t="s">
        <v>74</v>
      </c>
      <c r="L272" s="114" t="str">
        <f>CONCATENATE("dif ",RIGHT(K271,2),"/",RIGHT(I271,2))</f>
        <v>dif 26/25</v>
      </c>
    </row>
    <row r="273" spans="2:12" x14ac:dyDescent="0.25">
      <c r="B273" s="116" t="s">
        <v>76</v>
      </c>
      <c r="C273" s="187" t="s">
        <v>155</v>
      </c>
      <c r="D273" s="188">
        <v>-0.50880829015544027</v>
      </c>
      <c r="E273" s="187">
        <v>2.2141280353200883</v>
      </c>
      <c r="F273" s="188" t="str">
        <f t="shared" ref="F273:H275" si="91">IFERROR(E273-C273,"-")</f>
        <v>-</v>
      </c>
      <c r="G273" s="187">
        <v>2.3435897435897437</v>
      </c>
      <c r="H273" s="188">
        <f t="shared" si="91"/>
        <v>0.12946170826965542</v>
      </c>
      <c r="I273" s="187">
        <v>2.1986607142857144</v>
      </c>
      <c r="J273" s="188">
        <f t="shared" ref="J273:J275" si="92">IFERROR(I273-G273,"-")</f>
        <v>-0.14492902930402929</v>
      </c>
      <c r="K273" s="187">
        <v>2.5</v>
      </c>
      <c r="L273" s="188">
        <f t="shared" ref="L273:L279" si="93">IFERROR(K273-I273,"-")</f>
        <v>0.30133928571428559</v>
      </c>
    </row>
    <row r="274" spans="2:12" x14ac:dyDescent="0.25">
      <c r="B274" s="116" t="s">
        <v>78</v>
      </c>
      <c r="C274" s="187">
        <v>1.7</v>
      </c>
      <c r="D274" s="188">
        <v>-0.12598039215686274</v>
      </c>
      <c r="E274" s="187">
        <v>1.9424920127795526</v>
      </c>
      <c r="F274" s="188">
        <f t="shared" si="91"/>
        <v>0.24249201277955268</v>
      </c>
      <c r="G274" s="187">
        <v>2.3452380952380953</v>
      </c>
      <c r="H274" s="188">
        <f t="shared" si="91"/>
        <v>0.40274608245854271</v>
      </c>
      <c r="I274" s="187">
        <v>1.7648648648648648</v>
      </c>
      <c r="J274" s="188">
        <f t="shared" si="92"/>
        <v>-0.58037323037323052</v>
      </c>
      <c r="K274" s="187">
        <v>1.9671641791044776</v>
      </c>
      <c r="L274" s="188">
        <f t="shared" si="93"/>
        <v>0.20229931423961278</v>
      </c>
    </row>
    <row r="275" spans="2:12" x14ac:dyDescent="0.25">
      <c r="B275" s="116" t="s">
        <v>80</v>
      </c>
      <c r="C275" s="187">
        <v>2</v>
      </c>
      <c r="D275" s="188">
        <v>7.3863636363636465E-2</v>
      </c>
      <c r="E275" s="187">
        <v>1.9501557632398754</v>
      </c>
      <c r="F275" s="188">
        <f t="shared" si="91"/>
        <v>-4.9844236760124616E-2</v>
      </c>
      <c r="G275" s="187">
        <v>2.1419753086419755</v>
      </c>
      <c r="H275" s="188">
        <f t="shared" si="91"/>
        <v>0.19181954540210011</v>
      </c>
      <c r="I275" s="187">
        <v>1.639751552795031</v>
      </c>
      <c r="J275" s="188">
        <f t="shared" si="92"/>
        <v>-0.50222375584694445</v>
      </c>
      <c r="K275" s="187">
        <v>2.4866920152091256</v>
      </c>
      <c r="L275" s="188">
        <f t="shared" si="93"/>
        <v>0.8469404624140946</v>
      </c>
    </row>
    <row r="276" spans="2:12" x14ac:dyDescent="0.25">
      <c r="B276" s="116" t="s">
        <v>82</v>
      </c>
      <c r="C276" s="187">
        <v>3</v>
      </c>
      <c r="D276" s="188" t="s">
        <v>239</v>
      </c>
      <c r="E276" s="187">
        <v>1.4731182795698925</v>
      </c>
      <c r="F276" s="188">
        <f>IFERROR(E276-C276,"-")</f>
        <v>-1.5268817204301075</v>
      </c>
      <c r="G276" s="187">
        <v>2.8341463414634145</v>
      </c>
      <c r="H276" s="188">
        <f>IFERROR(G276-E276,"-")</f>
        <v>1.361028061893522</v>
      </c>
      <c r="I276" s="187">
        <v>1.641025641025641</v>
      </c>
      <c r="J276" s="188">
        <f>IFERROR(I276-G276,"-")</f>
        <v>-1.1931207004377735</v>
      </c>
      <c r="K276" s="187">
        <v>1.76</v>
      </c>
      <c r="L276" s="188">
        <f t="shared" si="93"/>
        <v>0.11897435897435904</v>
      </c>
    </row>
    <row r="277" spans="2:12" x14ac:dyDescent="0.25">
      <c r="B277" s="116" t="s">
        <v>84</v>
      </c>
      <c r="C277" s="187">
        <v>2.2400000000000002</v>
      </c>
      <c r="D277" s="188" t="s">
        <v>239</v>
      </c>
      <c r="E277" s="187">
        <v>1.7272727272727273</v>
      </c>
      <c r="F277" s="188">
        <f t="shared" ref="F277:H285" si="94">IFERROR(E277-C277,"-")</f>
        <v>-0.51272727272727292</v>
      </c>
      <c r="G277" s="187">
        <v>1.6956521739130435</v>
      </c>
      <c r="H277" s="188">
        <f t="shared" si="94"/>
        <v>-3.1620553359683834E-2</v>
      </c>
      <c r="I277" s="187">
        <v>2.7111111111111112</v>
      </c>
      <c r="J277" s="188">
        <f t="shared" ref="J277:J285" si="95">IFERROR(I277-G277,"-")</f>
        <v>1.0154589371980678</v>
      </c>
      <c r="K277" s="187">
        <v>2.652173913043478</v>
      </c>
      <c r="L277" s="188">
        <f t="shared" si="93"/>
        <v>-5.8937198067633201E-2</v>
      </c>
    </row>
    <row r="278" spans="2:12" x14ac:dyDescent="0.25">
      <c r="B278" s="116" t="s">
        <v>86</v>
      </c>
      <c r="C278" s="187">
        <v>2.2592592592592591</v>
      </c>
      <c r="D278" s="188" t="s">
        <v>239</v>
      </c>
      <c r="E278" s="187">
        <v>2.3636363636363638</v>
      </c>
      <c r="F278" s="188">
        <f t="shared" si="94"/>
        <v>0.10437710437710468</v>
      </c>
      <c r="G278" s="187">
        <v>2.1923076923076925</v>
      </c>
      <c r="H278" s="188">
        <f t="shared" si="94"/>
        <v>-0.17132867132867124</v>
      </c>
      <c r="I278" s="187">
        <v>3.2173913043478262</v>
      </c>
      <c r="J278" s="188">
        <f t="shared" si="95"/>
        <v>1.0250836120401337</v>
      </c>
      <c r="K278" s="187">
        <v>1.56</v>
      </c>
      <c r="L278" s="188">
        <f t="shared" si="93"/>
        <v>-1.6573913043478261</v>
      </c>
    </row>
    <row r="279" spans="2:12" x14ac:dyDescent="0.25">
      <c r="B279" s="116" t="s">
        <v>88</v>
      </c>
      <c r="C279" s="187">
        <v>3.76</v>
      </c>
      <c r="D279" s="188" t="s">
        <v>239</v>
      </c>
      <c r="E279" s="187">
        <v>3.6153846153846154</v>
      </c>
      <c r="F279" s="188">
        <f t="shared" si="94"/>
        <v>-0.14461538461538437</v>
      </c>
      <c r="G279" s="187">
        <v>3.7234042553191489</v>
      </c>
      <c r="H279" s="188">
        <f t="shared" si="94"/>
        <v>0.10801963993453345</v>
      </c>
      <c r="I279" s="187">
        <v>3.6481481481481484</v>
      </c>
      <c r="J279" s="188">
        <f t="shared" si="95"/>
        <v>-7.5256107171000508E-2</v>
      </c>
      <c r="K279" s="187">
        <v>3.1578947368421053</v>
      </c>
      <c r="L279" s="188">
        <f t="shared" si="93"/>
        <v>-0.49025341130604305</v>
      </c>
    </row>
    <row r="280" spans="2:12" x14ac:dyDescent="0.25">
      <c r="B280" s="116" t="s">
        <v>90</v>
      </c>
      <c r="C280" s="187">
        <v>2.2142857142857144</v>
      </c>
      <c r="D280" s="188">
        <v>0.61428571428571432</v>
      </c>
      <c r="E280" s="187">
        <v>3</v>
      </c>
      <c r="F280" s="188">
        <f t="shared" si="94"/>
        <v>0.78571428571428559</v>
      </c>
      <c r="G280" s="187">
        <v>4.4210526315789478</v>
      </c>
      <c r="H280" s="188">
        <f t="shared" si="94"/>
        <v>1.4210526315789478</v>
      </c>
      <c r="I280" s="187">
        <v>2.4285714285714284</v>
      </c>
      <c r="J280" s="188">
        <f t="shared" si="95"/>
        <v>-1.9924812030075194</v>
      </c>
      <c r="K280" s="187"/>
      <c r="L280" s="188"/>
    </row>
    <row r="281" spans="2:12" x14ac:dyDescent="0.25">
      <c r="B281" s="116" t="s">
        <v>92</v>
      </c>
      <c r="C281" s="187">
        <v>3.4242424242424243</v>
      </c>
      <c r="D281" s="188">
        <v>0.90424242424242429</v>
      </c>
      <c r="E281" s="187">
        <v>2.8378378378378377</v>
      </c>
      <c r="F281" s="188">
        <f t="shared" si="94"/>
        <v>-0.58640458640458659</v>
      </c>
      <c r="G281" s="187">
        <v>2</v>
      </c>
      <c r="H281" s="188">
        <f t="shared" si="94"/>
        <v>-0.83783783783783772</v>
      </c>
      <c r="I281" s="187">
        <v>2.4</v>
      </c>
      <c r="J281" s="188">
        <f t="shared" si="95"/>
        <v>0.39999999999999991</v>
      </c>
      <c r="K281" s="187"/>
      <c r="L281" s="188"/>
    </row>
    <row r="282" spans="2:12" x14ac:dyDescent="0.25">
      <c r="B282" s="116" t="s">
        <v>94</v>
      </c>
      <c r="C282" s="187">
        <v>1.8473282442748091</v>
      </c>
      <c r="D282" s="188">
        <v>0.19732824427480922</v>
      </c>
      <c r="E282" s="187">
        <v>1.8677685950413223</v>
      </c>
      <c r="F282" s="188">
        <f t="shared" si="94"/>
        <v>2.0440350766513182E-2</v>
      </c>
      <c r="G282" s="187">
        <v>1.6622807017543859</v>
      </c>
      <c r="H282" s="188">
        <f t="shared" si="94"/>
        <v>-0.2054878932869364</v>
      </c>
      <c r="I282" s="187">
        <v>2.2168674698795181</v>
      </c>
      <c r="J282" s="188">
        <f t="shared" si="95"/>
        <v>0.55458676812513219</v>
      </c>
      <c r="K282" s="187"/>
      <c r="L282" s="188"/>
    </row>
    <row r="283" spans="2:12" x14ac:dyDescent="0.25">
      <c r="B283" s="116" t="s">
        <v>96</v>
      </c>
      <c r="C283" s="187">
        <v>1.9113924050632911</v>
      </c>
      <c r="D283" s="188">
        <v>9.6577590248476231E-2</v>
      </c>
      <c r="E283" s="187">
        <v>2.1746575342465753</v>
      </c>
      <c r="F283" s="188">
        <f t="shared" si="94"/>
        <v>0.26326512918328415</v>
      </c>
      <c r="G283" s="187">
        <v>1.7654986522911051</v>
      </c>
      <c r="H283" s="188">
        <f t="shared" si="94"/>
        <v>-0.40915888195547012</v>
      </c>
      <c r="I283" s="187">
        <v>1.7411504424778761</v>
      </c>
      <c r="J283" s="188">
        <f t="shared" si="95"/>
        <v>-2.4348209813229049E-2</v>
      </c>
      <c r="K283" s="187"/>
      <c r="L283" s="188"/>
    </row>
    <row r="284" spans="2:12" x14ac:dyDescent="0.25">
      <c r="B284" s="116" t="s">
        <v>98</v>
      </c>
      <c r="C284" s="187">
        <v>2.2438271604938271</v>
      </c>
      <c r="D284" s="188">
        <v>0.28549382716049387</v>
      </c>
      <c r="E284" s="187">
        <v>1.8375350140056022</v>
      </c>
      <c r="F284" s="188">
        <f t="shared" si="94"/>
        <v>-0.40629214648822498</v>
      </c>
      <c r="G284" s="187">
        <v>1.9036402569593147</v>
      </c>
      <c r="H284" s="188">
        <f t="shared" si="94"/>
        <v>6.6105242953712562E-2</v>
      </c>
      <c r="I284" s="187">
        <v>2.0666666666666669</v>
      </c>
      <c r="J284" s="188">
        <f t="shared" si="95"/>
        <v>0.16302640970735216</v>
      </c>
      <c r="K284" s="187"/>
      <c r="L284" s="188"/>
    </row>
    <row r="285" spans="2:12" ht="15.75" x14ac:dyDescent="0.25">
      <c r="B285" s="119" t="s">
        <v>32</v>
      </c>
      <c r="C285" s="189">
        <v>2.1871599564744288</v>
      </c>
      <c r="D285" s="190">
        <v>0.22271146057652547</v>
      </c>
      <c r="E285" s="189">
        <v>2.00081466395112</v>
      </c>
      <c r="F285" s="190">
        <f t="shared" si="94"/>
        <v>-0.18634529252330889</v>
      </c>
      <c r="G285" s="189">
        <v>2.1686650679456436</v>
      </c>
      <c r="H285" s="190">
        <f t="shared" si="94"/>
        <v>0.16785040399452367</v>
      </c>
      <c r="I285" s="189">
        <v>1.9666244190959019</v>
      </c>
      <c r="J285" s="190">
        <f t="shared" si="95"/>
        <v>-0.20204064884974171</v>
      </c>
      <c r="K285" s="189">
        <v>2.300864100549882</v>
      </c>
      <c r="L285" s="190">
        <v>0.31567369152308378</v>
      </c>
    </row>
    <row r="286" spans="2:12" ht="6" customHeight="1" x14ac:dyDescent="0.25"/>
    <row r="287" spans="2:12" x14ac:dyDescent="0.25">
      <c r="B287" s="107" t="s">
        <v>57</v>
      </c>
      <c r="C287" s="107"/>
      <c r="D287" s="107"/>
      <c r="E287" s="107"/>
      <c r="F287" s="107"/>
      <c r="G287" s="107"/>
      <c r="H287" s="107"/>
      <c r="I287" s="107"/>
      <c r="J287" s="107"/>
      <c r="K287" s="107"/>
      <c r="L287" s="107"/>
    </row>
    <row r="288" spans="2:12" x14ac:dyDescent="0.25">
      <c r="C288" s="122"/>
      <c r="I288" s="122"/>
      <c r="L288" s="81"/>
    </row>
    <row r="290" spans="3:11" x14ac:dyDescent="0.25">
      <c r="C290" s="81"/>
      <c r="E290" s="81"/>
      <c r="G290" s="81"/>
      <c r="I290" s="81"/>
      <c r="K290" s="81"/>
    </row>
  </sheetData>
  <mergeCells count="91">
    <mergeCell ref="B268:L268"/>
    <mergeCell ref="C270:L270"/>
    <mergeCell ref="C271:D271"/>
    <mergeCell ref="E271:F271"/>
    <mergeCell ref="G271:H271"/>
    <mergeCell ref="I271:J271"/>
    <mergeCell ref="K271:L271"/>
    <mergeCell ref="B246:L246"/>
    <mergeCell ref="C248:L248"/>
    <mergeCell ref="C249:D249"/>
    <mergeCell ref="E249:F249"/>
    <mergeCell ref="G249:H249"/>
    <mergeCell ref="I249:J249"/>
    <mergeCell ref="K249:L249"/>
    <mergeCell ref="B224:L224"/>
    <mergeCell ref="C226:L226"/>
    <mergeCell ref="C227:D227"/>
    <mergeCell ref="E227:F227"/>
    <mergeCell ref="G227:H227"/>
    <mergeCell ref="I227:J227"/>
    <mergeCell ref="K227:L227"/>
    <mergeCell ref="B202:L202"/>
    <mergeCell ref="C204:L204"/>
    <mergeCell ref="C205:D205"/>
    <mergeCell ref="E205:F205"/>
    <mergeCell ref="G205:H205"/>
    <mergeCell ref="I205:J205"/>
    <mergeCell ref="K205:L205"/>
    <mergeCell ref="B180:L180"/>
    <mergeCell ref="C182:L182"/>
    <mergeCell ref="C183:D183"/>
    <mergeCell ref="E183:F183"/>
    <mergeCell ref="G183:H183"/>
    <mergeCell ref="I183:J183"/>
    <mergeCell ref="K183:L183"/>
    <mergeCell ref="B158:L158"/>
    <mergeCell ref="C160:L160"/>
    <mergeCell ref="C161:D161"/>
    <mergeCell ref="E161:F161"/>
    <mergeCell ref="G161:H161"/>
    <mergeCell ref="I161:J161"/>
    <mergeCell ref="K161:L161"/>
    <mergeCell ref="B136:L136"/>
    <mergeCell ref="C138:L138"/>
    <mergeCell ref="C139:D139"/>
    <mergeCell ref="E139:F139"/>
    <mergeCell ref="G139:H139"/>
    <mergeCell ref="I139:J139"/>
    <mergeCell ref="K139:L139"/>
    <mergeCell ref="B114:L114"/>
    <mergeCell ref="C116:L116"/>
    <mergeCell ref="C117:D117"/>
    <mergeCell ref="E117:F117"/>
    <mergeCell ref="G117:H117"/>
    <mergeCell ref="I117:J117"/>
    <mergeCell ref="K117:L117"/>
    <mergeCell ref="B92:L92"/>
    <mergeCell ref="C94:L94"/>
    <mergeCell ref="C95:D95"/>
    <mergeCell ref="E95:F95"/>
    <mergeCell ref="G95:H95"/>
    <mergeCell ref="I95:J95"/>
    <mergeCell ref="K95:L95"/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1948D-2E3F-4FAD-BBE2-0B7601C3E431}">
  <sheetPr>
    <tabColor theme="4" tint="0.79998168889431442"/>
  </sheetPr>
  <dimension ref="A4:M89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11" width="11.42578125" style="192"/>
    <col min="12" max="12" width="13.5703125" style="192" bestFit="1" customWidth="1"/>
  </cols>
  <sheetData>
    <row r="4" spans="1:13" ht="48.75" customHeight="1" thickBot="1" x14ac:dyDescent="0.3">
      <c r="B4" s="273" t="s">
        <v>296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1" t="s">
        <v>71</v>
      </c>
    </row>
    <row r="5" spans="1:13" ht="10.5" customHeight="1" thickBot="1" x14ac:dyDescent="0.3">
      <c r="B5" s="109"/>
      <c r="C5" s="191"/>
      <c r="D5" s="191"/>
      <c r="E5" s="191"/>
      <c r="F5" s="191"/>
      <c r="G5" s="191"/>
      <c r="H5" s="191"/>
      <c r="I5" s="191"/>
      <c r="J5" s="191"/>
      <c r="K5" s="39"/>
      <c r="L5" s="39"/>
      <c r="M5" s="1" t="s">
        <v>72</v>
      </c>
    </row>
    <row r="6" spans="1:13" ht="22.5" thickTop="1" thickBot="1" x14ac:dyDescent="0.3">
      <c r="B6" s="111" t="s">
        <v>32</v>
      </c>
      <c r="C6" s="309" t="s">
        <v>137</v>
      </c>
      <c r="D6" s="310"/>
      <c r="E6" s="310"/>
      <c r="F6" s="310"/>
      <c r="G6" s="310"/>
      <c r="H6" s="310"/>
      <c r="I6" s="310"/>
      <c r="J6" s="310"/>
      <c r="K6" s="310"/>
      <c r="L6" s="310"/>
    </row>
    <row r="7" spans="1:13" ht="22.5" thickTop="1" thickBot="1" x14ac:dyDescent="0.3">
      <c r="B7" s="112"/>
      <c r="C7" s="303">
        <f t="shared" ref="C7" si="0">E7-1</f>
        <v>2022</v>
      </c>
      <c r="D7" s="301"/>
      <c r="E7" s="300">
        <f t="shared" ref="E7" si="1">G7-1</f>
        <v>2023</v>
      </c>
      <c r="F7" s="301"/>
      <c r="G7" s="300">
        <f t="shared" ref="G7" si="2">I7-1</f>
        <v>2024</v>
      </c>
      <c r="H7" s="301"/>
      <c r="I7" s="300">
        <f>K7-1</f>
        <v>2025</v>
      </c>
      <c r="J7" s="301"/>
      <c r="K7" s="300">
        <v>2026</v>
      </c>
      <c r="L7" s="302"/>
    </row>
    <row r="8" spans="1:13" ht="16.5" thickTop="1" thickBot="1" x14ac:dyDescent="0.3">
      <c r="B8" s="87"/>
      <c r="C8" s="113" t="s">
        <v>74</v>
      </c>
      <c r="D8" s="114" t="str">
        <f>CONCATENATE("dif ",RIGHT(C7,2),"/",RIGHT(C7-1,2))</f>
        <v>dif 22/21</v>
      </c>
      <c r="E8" s="115" t="s">
        <v>74</v>
      </c>
      <c r="F8" s="114" t="str">
        <f>CONCATENATE("dif ",RIGHT(E7,2),"/",RIGHT(C7,2))</f>
        <v>dif 23/22</v>
      </c>
      <c r="G8" s="115" t="s">
        <v>74</v>
      </c>
      <c r="H8" s="114" t="str">
        <f>CONCATENATE("dif ",RIGHT(G7,2),"/",RIGHT(E7,2))</f>
        <v>dif 24/23</v>
      </c>
      <c r="I8" s="115" t="s">
        <v>74</v>
      </c>
      <c r="J8" s="114" t="str">
        <f>CONCATENATE("dif ",RIGHT(I7,2),"/",RIGHT(G7,2))</f>
        <v>dif 25/24</v>
      </c>
      <c r="K8" s="115" t="s">
        <v>74</v>
      </c>
      <c r="L8" s="114" t="str">
        <f>CONCATENATE("def ",RIGHT(K7,2),"/",RIGHT(I7,2))</f>
        <v>def 26/25</v>
      </c>
    </row>
    <row r="9" spans="1:13" x14ac:dyDescent="0.25">
      <c r="A9" s="1" t="s">
        <v>75</v>
      </c>
      <c r="B9" s="116" t="s">
        <v>76</v>
      </c>
      <c r="C9" s="187">
        <v>2.8322493991234272</v>
      </c>
      <c r="D9" s="188">
        <v>0.93000480084358661</v>
      </c>
      <c r="E9" s="187">
        <v>2.5235291626074803</v>
      </c>
      <c r="F9" s="188">
        <f t="shared" ref="F9:H21" si="3">IFERROR(E9-C9,"-")</f>
        <v>-0.30872023651594693</v>
      </c>
      <c r="G9" s="187">
        <v>2.6381660470879802</v>
      </c>
      <c r="H9" s="188">
        <f t="shared" si="3"/>
        <v>0.11463688448049991</v>
      </c>
      <c r="I9" s="187">
        <v>2.3200146329566702</v>
      </c>
      <c r="J9" s="188">
        <f t="shared" ref="J9:J21" si="4">IFERROR(I9-G9,"-")</f>
        <v>-0.31815141413130998</v>
      </c>
      <c r="K9" s="187">
        <v>2.1576113730734043</v>
      </c>
      <c r="L9" s="188">
        <f t="shared" ref="L9:L15" si="5">IFERROR(K9-I9,"-")</f>
        <v>-0.16240325988326587</v>
      </c>
    </row>
    <row r="10" spans="1:13" x14ac:dyDescent="0.25">
      <c r="A10" s="1" t="s">
        <v>77</v>
      </c>
      <c r="B10" s="116" t="s">
        <v>78</v>
      </c>
      <c r="C10" s="187">
        <v>2.4567090685268771</v>
      </c>
      <c r="D10" s="188">
        <v>0.57360995150163152</v>
      </c>
      <c r="E10" s="187">
        <v>2.2917233809001099</v>
      </c>
      <c r="F10" s="188">
        <f t="shared" si="3"/>
        <v>-0.16498568762676724</v>
      </c>
      <c r="G10" s="187">
        <v>2.4732375690607733</v>
      </c>
      <c r="H10" s="188">
        <f t="shared" si="3"/>
        <v>0.18151418816066345</v>
      </c>
      <c r="I10" s="187">
        <v>2.1117708416914067</v>
      </c>
      <c r="J10" s="188">
        <f t="shared" si="4"/>
        <v>-0.36146672736936658</v>
      </c>
      <c r="K10" s="187">
        <v>2.0968158811070827</v>
      </c>
      <c r="L10" s="188">
        <f t="shared" si="5"/>
        <v>-1.4954960584323995E-2</v>
      </c>
    </row>
    <row r="11" spans="1:13" x14ac:dyDescent="0.25">
      <c r="A11" s="1" t="s">
        <v>79</v>
      </c>
      <c r="B11" s="116" t="s">
        <v>80</v>
      </c>
      <c r="C11" s="187">
        <v>2.3488082178119076</v>
      </c>
      <c r="D11" s="188">
        <v>0.18346686792827693</v>
      </c>
      <c r="E11" s="187">
        <v>2.3180265353142131</v>
      </c>
      <c r="F11" s="188">
        <f t="shared" si="3"/>
        <v>-3.0781682497694529E-2</v>
      </c>
      <c r="G11" s="187">
        <v>2.5529145444255801</v>
      </c>
      <c r="H11" s="188">
        <f t="shared" si="3"/>
        <v>0.23488800911136698</v>
      </c>
      <c r="I11" s="187">
        <v>2.1110739128817468</v>
      </c>
      <c r="J11" s="188">
        <f t="shared" si="4"/>
        <v>-0.44184063154383324</v>
      </c>
      <c r="K11" s="187">
        <v>2.1481083404987102</v>
      </c>
      <c r="L11" s="188">
        <f t="shared" si="5"/>
        <v>3.7034427616963406E-2</v>
      </c>
    </row>
    <row r="12" spans="1:13" x14ac:dyDescent="0.25">
      <c r="A12" s="1" t="s">
        <v>81</v>
      </c>
      <c r="B12" s="116" t="s">
        <v>82</v>
      </c>
      <c r="C12" s="187">
        <v>2.5104382929642446</v>
      </c>
      <c r="D12" s="188">
        <v>0.47261397286421314</v>
      </c>
      <c r="E12" s="187">
        <v>2.2301869061292678</v>
      </c>
      <c r="F12" s="188">
        <f t="shared" si="3"/>
        <v>-0.28025138683497675</v>
      </c>
      <c r="G12" s="187">
        <v>2.4243523043775292</v>
      </c>
      <c r="H12" s="188">
        <f t="shared" si="3"/>
        <v>0.1941653982482614</v>
      </c>
      <c r="I12" s="187">
        <v>2.2593373927218678</v>
      </c>
      <c r="J12" s="188">
        <f t="shared" si="4"/>
        <v>-0.1650149116556614</v>
      </c>
      <c r="K12" s="187">
        <v>2.1392322706571241</v>
      </c>
      <c r="L12" s="188">
        <f t="shared" si="5"/>
        <v>-0.12010512206474377</v>
      </c>
    </row>
    <row r="13" spans="1:13" x14ac:dyDescent="0.25">
      <c r="A13" s="1" t="s">
        <v>83</v>
      </c>
      <c r="B13" s="116" t="s">
        <v>84</v>
      </c>
      <c r="C13" s="187">
        <v>2.4632700120786208</v>
      </c>
      <c r="D13" s="188">
        <v>0.54816439230978853</v>
      </c>
      <c r="E13" s="187">
        <v>2.3830322688887646</v>
      </c>
      <c r="F13" s="188">
        <f t="shared" si="3"/>
        <v>-8.0237743189856214E-2</v>
      </c>
      <c r="G13" s="187">
        <v>2.197144331670394</v>
      </c>
      <c r="H13" s="188">
        <f t="shared" si="3"/>
        <v>-0.1858879372183706</v>
      </c>
      <c r="I13" s="187">
        <v>2.0151193633952253</v>
      </c>
      <c r="J13" s="188">
        <f t="shared" si="4"/>
        <v>-0.18202496827516867</v>
      </c>
      <c r="K13" s="187">
        <v>2.2807980783371735</v>
      </c>
      <c r="L13" s="188">
        <f t="shared" si="5"/>
        <v>0.26567871494194817</v>
      </c>
    </row>
    <row r="14" spans="1:13" x14ac:dyDescent="0.25">
      <c r="A14" s="1" t="s">
        <v>85</v>
      </c>
      <c r="B14" s="116" t="s">
        <v>86</v>
      </c>
      <c r="C14" s="187">
        <v>2.2983870967741935</v>
      </c>
      <c r="D14" s="188">
        <v>0.31958198636875812</v>
      </c>
      <c r="E14" s="187">
        <v>2.1486403825835509</v>
      </c>
      <c r="F14" s="188">
        <f t="shared" si="3"/>
        <v>-0.14974671419064256</v>
      </c>
      <c r="G14" s="187">
        <v>2.0572924688125673</v>
      </c>
      <c r="H14" s="188">
        <f t="shared" si="3"/>
        <v>-9.1347913770983613E-2</v>
      </c>
      <c r="I14" s="187">
        <v>2.0359794950414409</v>
      </c>
      <c r="J14" s="188">
        <f t="shared" si="4"/>
        <v>-2.1312973771126398E-2</v>
      </c>
      <c r="K14" s="187">
        <v>2.1019455661020503</v>
      </c>
      <c r="L14" s="188">
        <f t="shared" si="5"/>
        <v>6.5966071060609366E-2</v>
      </c>
    </row>
    <row r="15" spans="1:13" x14ac:dyDescent="0.25">
      <c r="A15" s="1" t="s">
        <v>87</v>
      </c>
      <c r="B15" s="116" t="s">
        <v>88</v>
      </c>
      <c r="C15" s="187">
        <v>2.3937399767737655</v>
      </c>
      <c r="D15" s="188">
        <v>0.22510544419979706</v>
      </c>
      <c r="E15" s="187">
        <v>2.3548041701887854</v>
      </c>
      <c r="F15" s="188">
        <f t="shared" si="3"/>
        <v>-3.8935806584980082E-2</v>
      </c>
      <c r="G15" s="187">
        <v>2.0914386094674557</v>
      </c>
      <c r="H15" s="188">
        <f t="shared" si="3"/>
        <v>-0.26336556072132966</v>
      </c>
      <c r="I15" s="187">
        <v>2.0875884890880911</v>
      </c>
      <c r="J15" s="188">
        <f t="shared" si="4"/>
        <v>-3.8501203793646077E-3</v>
      </c>
      <c r="K15" s="187">
        <v>2.1673615247170934</v>
      </c>
      <c r="L15" s="188">
        <f t="shared" si="5"/>
        <v>7.9773035629002287E-2</v>
      </c>
    </row>
    <row r="16" spans="1:13" x14ac:dyDescent="0.25">
      <c r="A16" s="1" t="s">
        <v>89</v>
      </c>
      <c r="B16" s="116" t="s">
        <v>90</v>
      </c>
      <c r="C16" s="187">
        <v>2.6865335051546393</v>
      </c>
      <c r="D16" s="188">
        <v>9.0411422569360855E-2</v>
      </c>
      <c r="E16" s="187">
        <v>2.8928833455612621</v>
      </c>
      <c r="F16" s="188">
        <f t="shared" si="3"/>
        <v>0.20634984040662285</v>
      </c>
      <c r="G16" s="187">
        <v>2.8021182816919938</v>
      </c>
      <c r="H16" s="188">
        <f t="shared" si="3"/>
        <v>-9.0765063869268303E-2</v>
      </c>
      <c r="I16" s="187">
        <v>2.8997583829335847</v>
      </c>
      <c r="J16" s="188">
        <f t="shared" si="4"/>
        <v>9.7640101241590838E-2</v>
      </c>
      <c r="K16" s="187"/>
      <c r="L16" s="188"/>
    </row>
    <row r="17" spans="1:13" x14ac:dyDescent="0.25">
      <c r="A17" s="1" t="s">
        <v>91</v>
      </c>
      <c r="B17" s="116" t="s">
        <v>92</v>
      </c>
      <c r="C17" s="187">
        <v>2.1155368505436143</v>
      </c>
      <c r="D17" s="188">
        <v>-8.211992114338873E-2</v>
      </c>
      <c r="E17" s="187">
        <v>2.5199899579489111</v>
      </c>
      <c r="F17" s="188">
        <f t="shared" si="3"/>
        <v>0.40445310740529683</v>
      </c>
      <c r="G17" s="187">
        <v>2.2043213975583593</v>
      </c>
      <c r="H17" s="188">
        <f t="shared" si="3"/>
        <v>-0.3156685603905518</v>
      </c>
      <c r="I17" s="187">
        <v>2.1866574965612107</v>
      </c>
      <c r="J17" s="188">
        <f t="shared" si="4"/>
        <v>-1.7663900997148652E-2</v>
      </c>
      <c r="K17" s="187"/>
      <c r="L17" s="188"/>
    </row>
    <row r="18" spans="1:13" x14ac:dyDescent="0.25">
      <c r="A18" s="1" t="s">
        <v>93</v>
      </c>
      <c r="B18" s="116" t="s">
        <v>94</v>
      </c>
      <c r="C18" s="187">
        <v>2.1997993799015139</v>
      </c>
      <c r="D18" s="188">
        <v>3.0284649411173703E-2</v>
      </c>
      <c r="E18" s="187">
        <v>2.3996983408748114</v>
      </c>
      <c r="F18" s="188">
        <f t="shared" si="3"/>
        <v>0.19989896097329751</v>
      </c>
      <c r="G18" s="187">
        <v>2.2301287686818019</v>
      </c>
      <c r="H18" s="188">
        <f t="shared" si="3"/>
        <v>-0.1695695721930095</v>
      </c>
      <c r="I18" s="187">
        <v>2.2685847398749437</v>
      </c>
      <c r="J18" s="188">
        <f t="shared" si="4"/>
        <v>3.8455971193141814E-2</v>
      </c>
      <c r="K18" s="187"/>
      <c r="L18" s="188"/>
    </row>
    <row r="19" spans="1:13" x14ac:dyDescent="0.25">
      <c r="A19" s="1" t="s">
        <v>95</v>
      </c>
      <c r="B19" s="116" t="s">
        <v>96</v>
      </c>
      <c r="C19" s="187">
        <v>2.2195556611619343</v>
      </c>
      <c r="D19" s="188">
        <v>5.8341940845311413E-2</v>
      </c>
      <c r="E19" s="187">
        <v>2.3657835805129506</v>
      </c>
      <c r="F19" s="188">
        <f t="shared" si="3"/>
        <v>0.14622791935101631</v>
      </c>
      <c r="G19" s="187">
        <v>2.1195535180386686</v>
      </c>
      <c r="H19" s="188">
        <f t="shared" si="3"/>
        <v>-0.24623006247428192</v>
      </c>
      <c r="I19" s="187">
        <v>1.9873622130169206</v>
      </c>
      <c r="J19" s="188">
        <f t="shared" si="4"/>
        <v>-0.13219130502174803</v>
      </c>
      <c r="K19" s="187"/>
      <c r="L19" s="188"/>
    </row>
    <row r="20" spans="1:13" x14ac:dyDescent="0.25">
      <c r="A20" s="1" t="s">
        <v>97</v>
      </c>
      <c r="B20" s="116" t="s">
        <v>98</v>
      </c>
      <c r="C20" s="187">
        <v>2.2557062382641351</v>
      </c>
      <c r="D20" s="188">
        <v>-0.31298262864431647</v>
      </c>
      <c r="E20" s="187">
        <v>2.5818146474218788</v>
      </c>
      <c r="F20" s="188">
        <f t="shared" si="3"/>
        <v>0.32610840915774375</v>
      </c>
      <c r="G20" s="187">
        <v>2.241869341020748</v>
      </c>
      <c r="H20" s="188">
        <f t="shared" si="3"/>
        <v>-0.33994530640113085</v>
      </c>
      <c r="I20" s="187">
        <v>2.0944992947813823</v>
      </c>
      <c r="J20" s="188">
        <f t="shared" si="4"/>
        <v>-0.14737004623936567</v>
      </c>
      <c r="K20" s="187"/>
      <c r="L20" s="188"/>
    </row>
    <row r="21" spans="1:13" ht="15.75" x14ac:dyDescent="0.25">
      <c r="A21" s="1" t="s">
        <v>0</v>
      </c>
      <c r="B21" s="119" t="s">
        <v>32</v>
      </c>
      <c r="C21" s="189">
        <v>2.3720011696365835</v>
      </c>
      <c r="D21" s="190">
        <v>0.1853862102434336</v>
      </c>
      <c r="E21" s="189">
        <v>2.4072295079235473</v>
      </c>
      <c r="F21" s="190">
        <f t="shared" si="3"/>
        <v>3.5228338286963812E-2</v>
      </c>
      <c r="G21" s="189">
        <v>2.3296593146357729</v>
      </c>
      <c r="H21" s="190">
        <f t="shared" si="3"/>
        <v>-7.7570193287774369E-2</v>
      </c>
      <c r="I21" s="189">
        <v>2.1778762283219097</v>
      </c>
      <c r="J21" s="190">
        <f t="shared" si="4"/>
        <v>-0.15178308631386317</v>
      </c>
      <c r="K21" s="189">
        <v>2.1533491162178038</v>
      </c>
      <c r="L21" s="190">
        <v>1.8273736891540882E-2</v>
      </c>
    </row>
    <row r="22" spans="1:13" ht="6" customHeight="1" x14ac:dyDescent="0.25"/>
    <row r="23" spans="1:13" x14ac:dyDescent="0.25">
      <c r="B23" s="107" t="s">
        <v>57</v>
      </c>
      <c r="C23" s="193"/>
      <c r="D23" s="193"/>
      <c r="E23" s="193"/>
      <c r="F23" s="193"/>
      <c r="G23" s="193"/>
      <c r="H23" s="193"/>
      <c r="I23" s="193"/>
      <c r="J23" s="193"/>
      <c r="K23" s="193"/>
      <c r="L23" s="193"/>
    </row>
    <row r="24" spans="1:13" x14ac:dyDescent="0.25">
      <c r="L24" s="194"/>
    </row>
    <row r="26" spans="1:13" ht="48.75" customHeight="1" thickBot="1" x14ac:dyDescent="0.3">
      <c r="B26" s="273" t="s">
        <v>308</v>
      </c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1" t="s">
        <v>99</v>
      </c>
    </row>
    <row r="27" spans="1:13" ht="10.5" customHeight="1" thickBot="1" x14ac:dyDescent="0.3">
      <c r="B27" s="109"/>
      <c r="C27" s="191"/>
      <c r="D27" s="191"/>
      <c r="E27" s="191"/>
      <c r="F27" s="191"/>
      <c r="G27" s="191"/>
      <c r="H27" s="191"/>
      <c r="I27" s="191"/>
      <c r="J27" s="191"/>
      <c r="K27" s="39"/>
      <c r="L27" s="39"/>
      <c r="M27" s="1" t="s">
        <v>100</v>
      </c>
    </row>
    <row r="28" spans="1:13" ht="22.5" thickTop="1" thickBot="1" x14ac:dyDescent="0.3">
      <c r="B28" s="123" t="s">
        <v>101</v>
      </c>
      <c r="C28" s="309" t="s">
        <v>142</v>
      </c>
      <c r="D28" s="310"/>
      <c r="E28" s="310"/>
      <c r="F28" s="310"/>
      <c r="G28" s="310"/>
      <c r="H28" s="310"/>
      <c r="I28" s="310"/>
      <c r="J28" s="310"/>
      <c r="K28" s="310"/>
      <c r="L28" s="310"/>
    </row>
    <row r="29" spans="1:13" ht="22.5" thickTop="1" thickBot="1" x14ac:dyDescent="0.3">
      <c r="B29" s="112"/>
      <c r="C29" s="303">
        <f t="shared" ref="C29" si="6">E29-1</f>
        <v>2022</v>
      </c>
      <c r="D29" s="301"/>
      <c r="E29" s="300">
        <f t="shared" ref="E29" si="7">G29-1</f>
        <v>2023</v>
      </c>
      <c r="F29" s="301"/>
      <c r="G29" s="300">
        <f t="shared" ref="G29" si="8">I29-1</f>
        <v>2024</v>
      </c>
      <c r="H29" s="301"/>
      <c r="I29" s="300">
        <f>K29-1</f>
        <v>2025</v>
      </c>
      <c r="J29" s="301"/>
      <c r="K29" s="300">
        <v>2026</v>
      </c>
      <c r="L29" s="302"/>
    </row>
    <row r="30" spans="1:13" ht="16.5" thickTop="1" thickBot="1" x14ac:dyDescent="0.3">
      <c r="B30" s="87"/>
      <c r="C30" s="113" t="s">
        <v>74</v>
      </c>
      <c r="D30" s="114" t="str">
        <f>CONCATENATE("dif ",RIGHT(C29,2),"/",RIGHT(C29-1,2))</f>
        <v>dif 22/21</v>
      </c>
      <c r="E30" s="115" t="s">
        <v>74</v>
      </c>
      <c r="F30" s="114" t="str">
        <f>CONCATENATE("dif ",RIGHT(E29,2),"/",RIGHT(C29,2))</f>
        <v>dif 23/22</v>
      </c>
      <c r="G30" s="115" t="s">
        <v>74</v>
      </c>
      <c r="H30" s="114" t="str">
        <f>CONCATENATE("dif ",RIGHT(G29,2),"/",RIGHT(E29,2))</f>
        <v>dif 24/23</v>
      </c>
      <c r="I30" s="115" t="s">
        <v>74</v>
      </c>
      <c r="J30" s="114" t="str">
        <f>CONCATENATE("dif ",RIGHT(I29,2),"/",RIGHT(G29,2))</f>
        <v>dif 25/24</v>
      </c>
      <c r="K30" s="115" t="s">
        <v>74</v>
      </c>
      <c r="L30" s="114" t="str">
        <f>CONCATENATE("def ",RIGHT(K29,2),"/",RIGHT(I29,2))</f>
        <v>def 26/25</v>
      </c>
    </row>
    <row r="31" spans="1:13" x14ac:dyDescent="0.25">
      <c r="B31" s="116" t="s">
        <v>76</v>
      </c>
      <c r="C31" s="187">
        <v>2.8322493991234272</v>
      </c>
      <c r="D31" s="188">
        <v>0.93000480084358661</v>
      </c>
      <c r="E31" s="187">
        <v>2.5235291626074803</v>
      </c>
      <c r="F31" s="188">
        <f t="shared" ref="F31:H43" si="9">IFERROR(E31-C31,"-")</f>
        <v>-0.30872023651594693</v>
      </c>
      <c r="G31" s="187">
        <v>2.6381660470879802</v>
      </c>
      <c r="H31" s="188">
        <f t="shared" si="9"/>
        <v>0.11463688448049991</v>
      </c>
      <c r="I31" s="187">
        <v>2.3200146329566702</v>
      </c>
      <c r="J31" s="188">
        <f t="shared" ref="J31:J43" si="10">IFERROR(I31-G31,"-")</f>
        <v>-0.31815141413130998</v>
      </c>
      <c r="K31" s="187">
        <v>2.1576113730734043</v>
      </c>
      <c r="L31" s="188">
        <f>IFERROR(K31-I31,"-")</f>
        <v>-0.16240325988326587</v>
      </c>
    </row>
    <row r="32" spans="1:13" x14ac:dyDescent="0.25">
      <c r="B32" s="116" t="s">
        <v>78</v>
      </c>
      <c r="C32" s="187">
        <v>2.4567090685268771</v>
      </c>
      <c r="D32" s="188">
        <v>0.57360995150163152</v>
      </c>
      <c r="E32" s="187">
        <v>2.2917233809001099</v>
      </c>
      <c r="F32" s="188">
        <f t="shared" si="9"/>
        <v>-0.16498568762676724</v>
      </c>
      <c r="G32" s="187">
        <v>2.4732375690607733</v>
      </c>
      <c r="H32" s="188">
        <f t="shared" si="9"/>
        <v>0.18151418816066345</v>
      </c>
      <c r="I32" s="187">
        <v>2.1117708416914067</v>
      </c>
      <c r="J32" s="188">
        <f t="shared" si="10"/>
        <v>-0.36146672736936658</v>
      </c>
      <c r="K32" s="187">
        <v>2.0968158811070827</v>
      </c>
      <c r="L32" s="188">
        <f t="shared" ref="L32:L37" si="11">IFERROR(K32-I32,"-")</f>
        <v>-1.4954960584323995E-2</v>
      </c>
    </row>
    <row r="33" spans="2:13" x14ac:dyDescent="0.25">
      <c r="B33" s="116" t="s">
        <v>80</v>
      </c>
      <c r="C33" s="187">
        <v>2.3488082178119076</v>
      </c>
      <c r="D33" s="188">
        <v>0.18346686792827693</v>
      </c>
      <c r="E33" s="187">
        <v>2.3180265353142131</v>
      </c>
      <c r="F33" s="188">
        <f t="shared" si="9"/>
        <v>-3.0781682497694529E-2</v>
      </c>
      <c r="G33" s="187">
        <v>2.5529145444255801</v>
      </c>
      <c r="H33" s="188">
        <f t="shared" si="9"/>
        <v>0.23488800911136698</v>
      </c>
      <c r="I33" s="187">
        <v>2.1110739128817468</v>
      </c>
      <c r="J33" s="188">
        <f t="shared" si="10"/>
        <v>-0.44184063154383324</v>
      </c>
      <c r="K33" s="187">
        <v>2.1481083404987102</v>
      </c>
      <c r="L33" s="188">
        <f t="shared" si="11"/>
        <v>3.7034427616963406E-2</v>
      </c>
    </row>
    <row r="34" spans="2:13" x14ac:dyDescent="0.25">
      <c r="B34" s="116" t="s">
        <v>82</v>
      </c>
      <c r="C34" s="187">
        <v>2.5104382929642446</v>
      </c>
      <c r="D34" s="188">
        <v>0.47261397286421314</v>
      </c>
      <c r="E34" s="187">
        <v>2.2301869061292678</v>
      </c>
      <c r="F34" s="188">
        <f t="shared" si="9"/>
        <v>-0.28025138683497675</v>
      </c>
      <c r="G34" s="187">
        <v>2.4243523043775292</v>
      </c>
      <c r="H34" s="188">
        <f t="shared" si="9"/>
        <v>0.1941653982482614</v>
      </c>
      <c r="I34" s="187">
        <v>2.2593373927218678</v>
      </c>
      <c r="J34" s="188">
        <f t="shared" si="10"/>
        <v>-0.1650149116556614</v>
      </c>
      <c r="K34" s="187">
        <v>2.1392322706571241</v>
      </c>
      <c r="L34" s="188">
        <f t="shared" si="11"/>
        <v>-0.12010512206474377</v>
      </c>
    </row>
    <row r="35" spans="2:13" x14ac:dyDescent="0.25">
      <c r="B35" s="116" t="s">
        <v>84</v>
      </c>
      <c r="C35" s="187">
        <v>2.4632700120786208</v>
      </c>
      <c r="D35" s="188">
        <v>0.54816439230978853</v>
      </c>
      <c r="E35" s="187">
        <v>2.3830322688887646</v>
      </c>
      <c r="F35" s="188">
        <f t="shared" si="9"/>
        <v>-8.0237743189856214E-2</v>
      </c>
      <c r="G35" s="187">
        <v>2.197144331670394</v>
      </c>
      <c r="H35" s="188">
        <f t="shared" si="9"/>
        <v>-0.1858879372183706</v>
      </c>
      <c r="I35" s="187">
        <v>2.0151193633952253</v>
      </c>
      <c r="J35" s="188">
        <f t="shared" si="10"/>
        <v>-0.18202496827516867</v>
      </c>
      <c r="K35" s="187">
        <v>2.2807980783371735</v>
      </c>
      <c r="L35" s="188">
        <f t="shared" si="11"/>
        <v>0.26567871494194817</v>
      </c>
    </row>
    <row r="36" spans="2:13" x14ac:dyDescent="0.25">
      <c r="B36" s="116" t="s">
        <v>86</v>
      </c>
      <c r="C36" s="187">
        <v>2.2983870967741935</v>
      </c>
      <c r="D36" s="188">
        <v>0.31958198636875812</v>
      </c>
      <c r="E36" s="187">
        <v>2.1486403825835509</v>
      </c>
      <c r="F36" s="188">
        <f t="shared" si="9"/>
        <v>-0.14974671419064256</v>
      </c>
      <c r="G36" s="187">
        <v>2.0572924688125673</v>
      </c>
      <c r="H36" s="188">
        <f t="shared" si="9"/>
        <v>-9.1347913770983613E-2</v>
      </c>
      <c r="I36" s="187">
        <v>2.0359794950414409</v>
      </c>
      <c r="J36" s="188">
        <f t="shared" si="10"/>
        <v>-2.1312973771126398E-2</v>
      </c>
      <c r="K36" s="187">
        <v>2.1019455661020503</v>
      </c>
      <c r="L36" s="188">
        <f t="shared" si="11"/>
        <v>6.5966071060609366E-2</v>
      </c>
    </row>
    <row r="37" spans="2:13" x14ac:dyDescent="0.25">
      <c r="B37" s="116" t="s">
        <v>88</v>
      </c>
      <c r="C37" s="187">
        <v>2.3937399767737655</v>
      </c>
      <c r="D37" s="188">
        <v>0.22510544419979706</v>
      </c>
      <c r="E37" s="187">
        <v>2.3548041701887854</v>
      </c>
      <c r="F37" s="188">
        <f t="shared" si="9"/>
        <v>-3.8935806584980082E-2</v>
      </c>
      <c r="G37" s="187">
        <v>2.0914386094674557</v>
      </c>
      <c r="H37" s="188">
        <f t="shared" si="9"/>
        <v>-0.26336556072132966</v>
      </c>
      <c r="I37" s="187">
        <v>2.0875884890880911</v>
      </c>
      <c r="J37" s="188">
        <f t="shared" si="10"/>
        <v>-3.8501203793646077E-3</v>
      </c>
      <c r="K37" s="187">
        <v>2.1673615247170934</v>
      </c>
      <c r="L37" s="188">
        <f t="shared" si="11"/>
        <v>7.9773035629002287E-2</v>
      </c>
    </row>
    <row r="38" spans="2:13" x14ac:dyDescent="0.25">
      <c r="B38" s="116" t="s">
        <v>90</v>
      </c>
      <c r="C38" s="187">
        <v>2.6865335051546393</v>
      </c>
      <c r="D38" s="188">
        <v>9.0411422569360855E-2</v>
      </c>
      <c r="E38" s="187">
        <v>2.8928833455612621</v>
      </c>
      <c r="F38" s="188">
        <f t="shared" si="9"/>
        <v>0.20634984040662285</v>
      </c>
      <c r="G38" s="187">
        <v>2.8021182816919938</v>
      </c>
      <c r="H38" s="188">
        <f t="shared" si="9"/>
        <v>-9.0765063869268303E-2</v>
      </c>
      <c r="I38" s="187">
        <v>2.8997583829335847</v>
      </c>
      <c r="J38" s="188">
        <f t="shared" si="10"/>
        <v>9.7640101241590838E-2</v>
      </c>
      <c r="K38" s="187"/>
      <c r="L38" s="188"/>
    </row>
    <row r="39" spans="2:13" x14ac:dyDescent="0.25">
      <c r="B39" s="116" t="s">
        <v>92</v>
      </c>
      <c r="C39" s="187">
        <v>2.1155368505436143</v>
      </c>
      <c r="D39" s="188">
        <v>-8.211992114338873E-2</v>
      </c>
      <c r="E39" s="187">
        <v>2.5199899579489111</v>
      </c>
      <c r="F39" s="188">
        <f t="shared" si="9"/>
        <v>0.40445310740529683</v>
      </c>
      <c r="G39" s="187">
        <v>2.2043213975583593</v>
      </c>
      <c r="H39" s="188">
        <f t="shared" si="9"/>
        <v>-0.3156685603905518</v>
      </c>
      <c r="I39" s="187">
        <v>2.1866574965612107</v>
      </c>
      <c r="J39" s="188">
        <f t="shared" si="10"/>
        <v>-1.7663900997148652E-2</v>
      </c>
      <c r="K39" s="187"/>
      <c r="L39" s="188"/>
    </row>
    <row r="40" spans="2:13" x14ac:dyDescent="0.25">
      <c r="B40" s="116" t="s">
        <v>94</v>
      </c>
      <c r="C40" s="187">
        <v>2.1997993799015139</v>
      </c>
      <c r="D40" s="188">
        <v>3.0284649411173703E-2</v>
      </c>
      <c r="E40" s="187">
        <v>2.3996983408748114</v>
      </c>
      <c r="F40" s="188">
        <f t="shared" si="9"/>
        <v>0.19989896097329751</v>
      </c>
      <c r="G40" s="187">
        <v>2.2301287686818019</v>
      </c>
      <c r="H40" s="188">
        <f t="shared" si="9"/>
        <v>-0.1695695721930095</v>
      </c>
      <c r="I40" s="187">
        <v>2.2685847398749437</v>
      </c>
      <c r="J40" s="188">
        <f t="shared" si="10"/>
        <v>3.8455971193141814E-2</v>
      </c>
      <c r="K40" s="187"/>
      <c r="L40" s="188"/>
    </row>
    <row r="41" spans="2:13" x14ac:dyDescent="0.25">
      <c r="B41" s="116" t="s">
        <v>96</v>
      </c>
      <c r="C41" s="187">
        <v>2.2195556611619343</v>
      </c>
      <c r="D41" s="188">
        <v>5.8341940845311413E-2</v>
      </c>
      <c r="E41" s="187">
        <v>2.3657835805129506</v>
      </c>
      <c r="F41" s="188">
        <f t="shared" si="9"/>
        <v>0.14622791935101631</v>
      </c>
      <c r="G41" s="187">
        <v>2.1195535180386686</v>
      </c>
      <c r="H41" s="188">
        <f t="shared" si="9"/>
        <v>-0.24623006247428192</v>
      </c>
      <c r="I41" s="187">
        <v>1.9873622130169206</v>
      </c>
      <c r="J41" s="188">
        <f t="shared" si="10"/>
        <v>-0.13219130502174803</v>
      </c>
      <c r="K41" s="187"/>
      <c r="L41" s="188"/>
    </row>
    <row r="42" spans="2:13" x14ac:dyDescent="0.25">
      <c r="B42" s="116" t="s">
        <v>98</v>
      </c>
      <c r="C42" s="187">
        <v>2.2557062382641351</v>
      </c>
      <c r="D42" s="188">
        <v>-0.31298262864431647</v>
      </c>
      <c r="E42" s="187">
        <v>2.5818146474218788</v>
      </c>
      <c r="F42" s="188">
        <f t="shared" si="9"/>
        <v>0.32610840915774375</v>
      </c>
      <c r="G42" s="187">
        <v>2.241869341020748</v>
      </c>
      <c r="H42" s="188">
        <f t="shared" si="9"/>
        <v>-0.33994530640113085</v>
      </c>
      <c r="I42" s="187">
        <v>2.0944992947813823</v>
      </c>
      <c r="J42" s="188">
        <f t="shared" si="10"/>
        <v>-0.14737004623936567</v>
      </c>
      <c r="K42" s="187"/>
      <c r="L42" s="188"/>
    </row>
    <row r="43" spans="2:13" ht="15.75" x14ac:dyDescent="0.25">
      <c r="B43" s="119" t="s">
        <v>32</v>
      </c>
      <c r="C43" s="189">
        <v>2.3720011696365835</v>
      </c>
      <c r="D43" s="190">
        <v>0.1853862102434336</v>
      </c>
      <c r="E43" s="189">
        <v>2.4072295079235473</v>
      </c>
      <c r="F43" s="190">
        <f t="shared" si="9"/>
        <v>3.5228338286963812E-2</v>
      </c>
      <c r="G43" s="189">
        <v>2.3296593146357729</v>
      </c>
      <c r="H43" s="190">
        <f t="shared" si="9"/>
        <v>-7.7570193287774369E-2</v>
      </c>
      <c r="I43" s="189">
        <v>2.1778762283219097</v>
      </c>
      <c r="J43" s="190">
        <f t="shared" si="10"/>
        <v>-0.15178308631386317</v>
      </c>
      <c r="K43" s="189">
        <v>2.1533491162178038</v>
      </c>
      <c r="L43" s="190">
        <v>1.8273736891540882E-2</v>
      </c>
    </row>
    <row r="44" spans="2:13" ht="6" customHeight="1" x14ac:dyDescent="0.25"/>
    <row r="45" spans="2:13" x14ac:dyDescent="0.25">
      <c r="B45" s="107" t="s">
        <v>57</v>
      </c>
      <c r="C45" s="193"/>
      <c r="D45" s="193"/>
      <c r="E45" s="193"/>
      <c r="F45" s="193"/>
      <c r="G45" s="193"/>
      <c r="H45" s="193"/>
      <c r="I45" s="193"/>
      <c r="J45" s="193"/>
      <c r="K45" s="193"/>
      <c r="L45" s="193"/>
    </row>
    <row r="48" spans="2:13" ht="48.75" customHeight="1" thickBot="1" x14ac:dyDescent="0.3">
      <c r="B48" s="273" t="s">
        <v>309</v>
      </c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1" t="s">
        <v>103</v>
      </c>
    </row>
    <row r="49" spans="1:13" ht="10.5" customHeight="1" thickBot="1" x14ac:dyDescent="0.3">
      <c r="B49" s="109"/>
      <c r="C49" s="191"/>
      <c r="D49" s="191"/>
      <c r="E49" s="191"/>
      <c r="F49" s="191"/>
      <c r="G49" s="191"/>
      <c r="H49" s="191"/>
      <c r="I49" s="191"/>
      <c r="J49" s="191"/>
      <c r="K49" s="39"/>
      <c r="L49" s="39"/>
      <c r="M49" s="1" t="s">
        <v>104</v>
      </c>
    </row>
    <row r="50" spans="1:13" ht="22.5" thickTop="1" thickBot="1" x14ac:dyDescent="0.3">
      <c r="B50" s="112"/>
      <c r="C50" s="309" t="s">
        <v>63</v>
      </c>
      <c r="D50" s="310"/>
      <c r="E50" s="310"/>
      <c r="F50" s="310"/>
      <c r="G50" s="310"/>
      <c r="H50" s="310"/>
      <c r="I50" s="310"/>
      <c r="J50" s="310"/>
      <c r="K50" s="310"/>
      <c r="L50" s="310"/>
    </row>
    <row r="51" spans="1:13" ht="22.5" thickTop="1" thickBot="1" x14ac:dyDescent="0.3">
      <c r="B51" s="112"/>
      <c r="C51" s="303">
        <f t="shared" ref="C51" si="12">E51-1</f>
        <v>2022</v>
      </c>
      <c r="D51" s="301"/>
      <c r="E51" s="300">
        <f t="shared" ref="E51" si="13">G51-1</f>
        <v>2023</v>
      </c>
      <c r="F51" s="301"/>
      <c r="G51" s="300">
        <f t="shared" ref="G51" si="14">I51-1</f>
        <v>2024</v>
      </c>
      <c r="H51" s="301"/>
      <c r="I51" s="300">
        <f>K51-1</f>
        <v>2025</v>
      </c>
      <c r="J51" s="301"/>
      <c r="K51" s="300">
        <v>2026</v>
      </c>
      <c r="L51" s="302"/>
    </row>
    <row r="52" spans="1:13" ht="16.5" thickTop="1" thickBot="1" x14ac:dyDescent="0.3">
      <c r="B52" s="87"/>
      <c r="C52" s="113" t="s">
        <v>74</v>
      </c>
      <c r="D52" s="114" t="str">
        <f>CONCATENATE("dif ",RIGHT(C51,2),"/",RIGHT(C51-1,2))</f>
        <v>dif 22/21</v>
      </c>
      <c r="E52" s="115" t="s">
        <v>74</v>
      </c>
      <c r="F52" s="114" t="str">
        <f>CONCATENATE("dif ",RIGHT(E51,2),"/",RIGHT(C51,2))</f>
        <v>dif 23/22</v>
      </c>
      <c r="G52" s="115" t="s">
        <v>74</v>
      </c>
      <c r="H52" s="114" t="str">
        <f>CONCATENATE("dif ",RIGHT(G51,2),"/",RIGHT(E51,2))</f>
        <v>dif 24/23</v>
      </c>
      <c r="I52" s="115" t="s">
        <v>74</v>
      </c>
      <c r="J52" s="114" t="str">
        <f>CONCATENATE("dif ",RIGHT(I51,2),"/",RIGHT(G51,2))</f>
        <v>dif 25/24</v>
      </c>
      <c r="K52" s="115" t="s">
        <v>74</v>
      </c>
      <c r="L52" s="114" t="str">
        <f>CONCATENATE("def ",RIGHT(K51,2),"/",RIGHT(I51,2))</f>
        <v>def 26/25</v>
      </c>
    </row>
    <row r="53" spans="1:13" x14ac:dyDescent="0.25">
      <c r="A53" s="1"/>
      <c r="B53" s="116" t="s">
        <v>76</v>
      </c>
      <c r="C53" s="187">
        <v>3.0459280303030303</v>
      </c>
      <c r="D53" s="188">
        <v>1.1574840943762568</v>
      </c>
      <c r="E53" s="187">
        <v>2.5357270326218861</v>
      </c>
      <c r="F53" s="188">
        <f t="shared" ref="F53:H65" si="15">IFERROR(E53-C53,"-")</f>
        <v>-0.51020099768114413</v>
      </c>
      <c r="G53" s="187">
        <v>2.6799765979230656</v>
      </c>
      <c r="H53" s="188">
        <f t="shared" si="15"/>
        <v>0.14424956530117949</v>
      </c>
      <c r="I53" s="187">
        <v>2.5616615067079462</v>
      </c>
      <c r="J53" s="188">
        <f t="shared" ref="J53:J65" si="16">IFERROR(I53-G53,"-")</f>
        <v>-0.11831509121511941</v>
      </c>
      <c r="K53" s="187">
        <v>2.3469649306769194</v>
      </c>
      <c r="L53" s="188">
        <f>IFERROR(K53-I53,"-")</f>
        <v>-0.21469657603102688</v>
      </c>
    </row>
    <row r="54" spans="1:13" x14ac:dyDescent="0.25">
      <c r="A54" s="1"/>
      <c r="B54" s="116" t="s">
        <v>78</v>
      </c>
      <c r="C54" s="187">
        <v>2.5615745079662604</v>
      </c>
      <c r="D54" s="188">
        <v>0.6072283640405447</v>
      </c>
      <c r="E54" s="187">
        <v>2.3779191670884248</v>
      </c>
      <c r="F54" s="188">
        <f t="shared" si="15"/>
        <v>-0.18365534087783564</v>
      </c>
      <c r="G54" s="187">
        <v>2.5754752996869512</v>
      </c>
      <c r="H54" s="188">
        <f t="shared" si="15"/>
        <v>0.19755613259852645</v>
      </c>
      <c r="I54" s="187">
        <v>2.3074914001783666</v>
      </c>
      <c r="J54" s="188">
        <f t="shared" si="16"/>
        <v>-0.26798389950858459</v>
      </c>
      <c r="K54" s="187">
        <v>2.2318840579710146</v>
      </c>
      <c r="L54" s="188">
        <f t="shared" ref="L54:L59" si="17">IFERROR(K54-I54,"-")</f>
        <v>-7.5607342207351991E-2</v>
      </c>
    </row>
    <row r="55" spans="1:13" x14ac:dyDescent="0.25">
      <c r="A55" s="1"/>
      <c r="B55" s="116" t="s">
        <v>80</v>
      </c>
      <c r="C55" s="187">
        <v>2.4389859864588255</v>
      </c>
      <c r="D55" s="188">
        <v>3.4232922960867995E-2</v>
      </c>
      <c r="E55" s="187">
        <v>2.280765423952491</v>
      </c>
      <c r="F55" s="188">
        <f t="shared" si="15"/>
        <v>-0.15822056250633443</v>
      </c>
      <c r="G55" s="187">
        <v>2.5351388153415537</v>
      </c>
      <c r="H55" s="188">
        <f t="shared" si="15"/>
        <v>0.25437339138906268</v>
      </c>
      <c r="I55" s="187">
        <v>2.2286604720955734</v>
      </c>
      <c r="J55" s="188">
        <f t="shared" si="16"/>
        <v>-0.30647834324598033</v>
      </c>
      <c r="K55" s="187">
        <v>2.3134251290877796</v>
      </c>
      <c r="L55" s="188">
        <f t="shared" si="17"/>
        <v>8.4764656992206255E-2</v>
      </c>
    </row>
    <row r="56" spans="1:13" x14ac:dyDescent="0.25">
      <c r="A56" s="1"/>
      <c r="B56" s="116" t="s">
        <v>82</v>
      </c>
      <c r="C56" s="187">
        <v>2.5931468036125378</v>
      </c>
      <c r="D56" s="188">
        <v>0.50932210241731868</v>
      </c>
      <c r="E56" s="187">
        <v>2.3284384871510286</v>
      </c>
      <c r="F56" s="188">
        <f t="shared" si="15"/>
        <v>-0.26470831646150916</v>
      </c>
      <c r="G56" s="187">
        <v>2.5466188983430365</v>
      </c>
      <c r="H56" s="188">
        <f t="shared" si="15"/>
        <v>0.21818041119200782</v>
      </c>
      <c r="I56" s="187">
        <v>2.4463859020310634</v>
      </c>
      <c r="J56" s="188">
        <f t="shared" si="16"/>
        <v>-0.10023299631197302</v>
      </c>
      <c r="K56" s="187">
        <v>2.2467302452316078</v>
      </c>
      <c r="L56" s="188">
        <f t="shared" si="17"/>
        <v>-0.19965565679945563</v>
      </c>
    </row>
    <row r="57" spans="1:13" x14ac:dyDescent="0.25">
      <c r="A57" s="1"/>
      <c r="B57" s="116" t="s">
        <v>84</v>
      </c>
      <c r="C57" s="187">
        <v>2.4652253909843607</v>
      </c>
      <c r="D57" s="188">
        <v>0.54035000527346577</v>
      </c>
      <c r="E57" s="187">
        <v>2.3221131369798971</v>
      </c>
      <c r="F57" s="188">
        <f t="shared" si="15"/>
        <v>-0.14311225400446359</v>
      </c>
      <c r="G57" s="187">
        <v>2.2173870526109916</v>
      </c>
      <c r="H57" s="188">
        <f t="shared" si="15"/>
        <v>-0.10472608436890551</v>
      </c>
      <c r="I57" s="187">
        <v>2.0691586350612137</v>
      </c>
      <c r="J57" s="188">
        <f t="shared" si="16"/>
        <v>-0.14822841754977789</v>
      </c>
      <c r="K57" s="187">
        <v>2.3376803551609324</v>
      </c>
      <c r="L57" s="188">
        <f t="shared" si="17"/>
        <v>0.26852172009971875</v>
      </c>
    </row>
    <row r="58" spans="1:13" x14ac:dyDescent="0.25">
      <c r="A58" s="1"/>
      <c r="B58" s="116" t="s">
        <v>86</v>
      </c>
      <c r="C58" s="187">
        <v>2.4094270781974165</v>
      </c>
      <c r="D58" s="188">
        <v>0.4396837685305679</v>
      </c>
      <c r="E58" s="187">
        <v>2.2037364798426746</v>
      </c>
      <c r="F58" s="188">
        <f t="shared" si="15"/>
        <v>-0.2056905983547419</v>
      </c>
      <c r="G58" s="187">
        <v>2.1963106971697259</v>
      </c>
      <c r="H58" s="188">
        <f t="shared" si="15"/>
        <v>-7.4257826729486887E-3</v>
      </c>
      <c r="I58" s="187">
        <v>2.0636521739130433</v>
      </c>
      <c r="J58" s="188">
        <f t="shared" si="16"/>
        <v>-0.13265852325668259</v>
      </c>
      <c r="K58" s="187">
        <v>2.1202934351373606</v>
      </c>
      <c r="L58" s="188">
        <f t="shared" si="17"/>
        <v>5.664126122431723E-2</v>
      </c>
    </row>
    <row r="59" spans="1:13" x14ac:dyDescent="0.25">
      <c r="A59" s="1"/>
      <c r="B59" s="116" t="s">
        <v>88</v>
      </c>
      <c r="C59" s="187">
        <v>2.5594205572983943</v>
      </c>
      <c r="D59" s="188">
        <v>0.34458500796319491</v>
      </c>
      <c r="E59" s="187">
        <v>2.5967405346318198</v>
      </c>
      <c r="F59" s="188">
        <f t="shared" si="15"/>
        <v>3.7319977333425403E-2</v>
      </c>
      <c r="G59" s="187">
        <v>2.2843620744511615</v>
      </c>
      <c r="H59" s="188">
        <f t="shared" si="15"/>
        <v>-0.31237846018065829</v>
      </c>
      <c r="I59" s="187">
        <v>2.2098007344530735</v>
      </c>
      <c r="J59" s="188">
        <f t="shared" si="16"/>
        <v>-7.4561339998088005E-2</v>
      </c>
      <c r="K59" s="187">
        <v>2.2695400450305563</v>
      </c>
      <c r="L59" s="188">
        <f t="shared" si="17"/>
        <v>5.9739310577482829E-2</v>
      </c>
    </row>
    <row r="60" spans="1:13" x14ac:dyDescent="0.25">
      <c r="A60" s="1"/>
      <c r="B60" s="116" t="s">
        <v>90</v>
      </c>
      <c r="C60" s="187">
        <v>3.04468764249886</v>
      </c>
      <c r="D60" s="188">
        <v>0.27884238262583727</v>
      </c>
      <c r="E60" s="187">
        <v>3.0982964765633265</v>
      </c>
      <c r="F60" s="188">
        <f t="shared" si="15"/>
        <v>5.3608834064466482E-2</v>
      </c>
      <c r="G60" s="187">
        <v>3.2368137782561894</v>
      </c>
      <c r="H60" s="188">
        <f t="shared" si="15"/>
        <v>0.13851730169286292</v>
      </c>
      <c r="I60" s="187">
        <v>3.1288806846786374</v>
      </c>
      <c r="J60" s="188">
        <f t="shared" si="16"/>
        <v>-0.10793309357755199</v>
      </c>
      <c r="K60" s="187"/>
      <c r="L60" s="188"/>
    </row>
    <row r="61" spans="1:13" x14ac:dyDescent="0.25">
      <c r="A61" s="1"/>
      <c r="B61" s="116" t="s">
        <v>92</v>
      </c>
      <c r="C61" s="187">
        <v>2.1439809086088033</v>
      </c>
      <c r="D61" s="188">
        <v>-0.16122623696322247</v>
      </c>
      <c r="E61" s="187">
        <v>2.7898680738786279</v>
      </c>
      <c r="F61" s="188">
        <f t="shared" si="15"/>
        <v>0.64588716526982459</v>
      </c>
      <c r="G61" s="187">
        <v>2.3288418350978506</v>
      </c>
      <c r="H61" s="188">
        <f t="shared" si="15"/>
        <v>-0.46102623878077731</v>
      </c>
      <c r="I61" s="187">
        <v>2.2692999400519551</v>
      </c>
      <c r="J61" s="188">
        <f t="shared" si="16"/>
        <v>-5.9541895045895465E-2</v>
      </c>
      <c r="K61" s="187"/>
      <c r="L61" s="188"/>
    </row>
    <row r="62" spans="1:13" x14ac:dyDescent="0.25">
      <c r="A62" s="1"/>
      <c r="B62" s="116" t="s">
        <v>94</v>
      </c>
      <c r="C62" s="187">
        <v>2.1939564867042707</v>
      </c>
      <c r="D62" s="188">
        <v>-9.9055332126537721E-2</v>
      </c>
      <c r="E62" s="187">
        <v>2.3949275362318843</v>
      </c>
      <c r="F62" s="188">
        <f t="shared" si="15"/>
        <v>0.20097104952761358</v>
      </c>
      <c r="G62" s="187">
        <v>2.3148834336884359</v>
      </c>
      <c r="H62" s="188">
        <f t="shared" si="15"/>
        <v>-8.0044102543448403E-2</v>
      </c>
      <c r="I62" s="187">
        <v>2.3762182041066504</v>
      </c>
      <c r="J62" s="188">
        <f t="shared" si="16"/>
        <v>6.1334770418214557E-2</v>
      </c>
      <c r="K62" s="187"/>
      <c r="L62" s="188"/>
    </row>
    <row r="63" spans="1:13" x14ac:dyDescent="0.25">
      <c r="A63" s="1"/>
      <c r="B63" s="116" t="s">
        <v>96</v>
      </c>
      <c r="C63" s="187">
        <v>2.2719651012200939</v>
      </c>
      <c r="D63" s="188">
        <v>3.6937940386703172E-2</v>
      </c>
      <c r="E63" s="187">
        <v>2.2942457436980335</v>
      </c>
      <c r="F63" s="188">
        <f t="shared" si="15"/>
        <v>2.2280642477939594E-2</v>
      </c>
      <c r="G63" s="187">
        <v>2.2874057456222348</v>
      </c>
      <c r="H63" s="188">
        <f t="shared" si="15"/>
        <v>-6.8399980757987144E-3</v>
      </c>
      <c r="I63" s="187">
        <v>2.0624900704337237</v>
      </c>
      <c r="J63" s="188">
        <f t="shared" si="16"/>
        <v>-0.22491567518851108</v>
      </c>
      <c r="K63" s="187"/>
      <c r="L63" s="188"/>
    </row>
    <row r="64" spans="1:13" x14ac:dyDescent="0.25">
      <c r="A64" s="1"/>
      <c r="B64" s="116" t="s">
        <v>98</v>
      </c>
      <c r="C64" s="187">
        <v>2.2874622245153682</v>
      </c>
      <c r="D64" s="188">
        <v>-0.43091357453027879</v>
      </c>
      <c r="E64" s="187">
        <v>2.485259025479178</v>
      </c>
      <c r="F64" s="188">
        <f t="shared" si="15"/>
        <v>0.1977968009638098</v>
      </c>
      <c r="G64" s="187">
        <v>2.4197963287280273</v>
      </c>
      <c r="H64" s="188">
        <f t="shared" si="15"/>
        <v>-6.5462696751150684E-2</v>
      </c>
      <c r="I64" s="187">
        <v>2.2777023692003948</v>
      </c>
      <c r="J64" s="188">
        <f t="shared" si="16"/>
        <v>-0.14209395952763249</v>
      </c>
      <c r="K64" s="187"/>
      <c r="L64" s="188"/>
    </row>
    <row r="65" spans="1:13" ht="15.75" x14ac:dyDescent="0.25">
      <c r="B65" s="119" t="s">
        <v>32</v>
      </c>
      <c r="C65" s="189">
        <v>2.4676964118587734</v>
      </c>
      <c r="D65" s="190">
        <v>0.18605785108786899</v>
      </c>
      <c r="E65" s="189">
        <v>2.4537785130320775</v>
      </c>
      <c r="F65" s="190">
        <f t="shared" si="15"/>
        <v>-1.3917898826695918E-2</v>
      </c>
      <c r="G65" s="189">
        <v>2.4546260285207819</v>
      </c>
      <c r="H65" s="190">
        <f t="shared" si="15"/>
        <v>8.4751548870443116E-4</v>
      </c>
      <c r="I65" s="189">
        <v>2.3121811361200431</v>
      </c>
      <c r="J65" s="190">
        <f t="shared" si="16"/>
        <v>-0.14244489240073888</v>
      </c>
      <c r="K65" s="189">
        <v>2.2701925164652241</v>
      </c>
      <c r="L65" s="190">
        <v>2.9082180437876026E-3</v>
      </c>
    </row>
    <row r="66" spans="1:13" ht="6" customHeight="1" x14ac:dyDescent="0.25"/>
    <row r="67" spans="1:13" x14ac:dyDescent="0.25">
      <c r="B67" s="107" t="s">
        <v>57</v>
      </c>
      <c r="C67" s="193"/>
      <c r="D67" s="193"/>
      <c r="E67" s="193"/>
      <c r="F67" s="193"/>
      <c r="G67" s="193"/>
      <c r="H67" s="193"/>
      <c r="I67" s="193"/>
      <c r="J67" s="193"/>
      <c r="K67" s="193"/>
      <c r="L67" s="193"/>
    </row>
    <row r="70" spans="1:13" ht="48.75" customHeight="1" thickBot="1" x14ac:dyDescent="0.3">
      <c r="B70" s="273" t="s">
        <v>310</v>
      </c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M70" s="1" t="s">
        <v>106</v>
      </c>
    </row>
    <row r="71" spans="1:13" ht="10.5" customHeight="1" thickBot="1" x14ac:dyDescent="0.3">
      <c r="B71" s="109"/>
      <c r="C71" s="191"/>
      <c r="D71" s="191"/>
      <c r="E71" s="191"/>
      <c r="F71" s="191"/>
      <c r="G71" s="191"/>
      <c r="H71" s="191"/>
      <c r="I71" s="191"/>
      <c r="J71" s="191"/>
      <c r="K71" s="39"/>
      <c r="L71" s="39"/>
      <c r="M71" s="1" t="s">
        <v>107</v>
      </c>
    </row>
    <row r="72" spans="1:13" ht="22.5" thickTop="1" thickBot="1" x14ac:dyDescent="0.3">
      <c r="B72" s="112"/>
      <c r="C72" s="309" t="s">
        <v>144</v>
      </c>
      <c r="D72" s="310"/>
      <c r="E72" s="310"/>
      <c r="F72" s="310"/>
      <c r="G72" s="310"/>
      <c r="H72" s="310"/>
      <c r="I72" s="310"/>
      <c r="J72" s="310"/>
      <c r="K72" s="310"/>
      <c r="L72" s="310"/>
    </row>
    <row r="73" spans="1:13" ht="22.5" thickTop="1" thickBot="1" x14ac:dyDescent="0.3">
      <c r="B73" s="112"/>
      <c r="C73" s="303">
        <f t="shared" ref="C73" si="18">E73-1</f>
        <v>2022</v>
      </c>
      <c r="D73" s="301"/>
      <c r="E73" s="300">
        <f t="shared" ref="E73" si="19">G73-1</f>
        <v>2023</v>
      </c>
      <c r="F73" s="301"/>
      <c r="G73" s="300">
        <f t="shared" ref="G73" si="20">I73-1</f>
        <v>2024</v>
      </c>
      <c r="H73" s="301"/>
      <c r="I73" s="300">
        <f>K73-1</f>
        <v>2025</v>
      </c>
      <c r="J73" s="301"/>
      <c r="K73" s="300">
        <v>2026</v>
      </c>
      <c r="L73" s="302"/>
    </row>
    <row r="74" spans="1:13" ht="16.5" thickTop="1" thickBot="1" x14ac:dyDescent="0.3">
      <c r="B74" s="87"/>
      <c r="C74" s="113" t="s">
        <v>74</v>
      </c>
      <c r="D74" s="114" t="str">
        <f>CONCATENATE("dif ",RIGHT(C73,2),"/",RIGHT(C73-1,2))</f>
        <v>dif 22/21</v>
      </c>
      <c r="E74" s="115" t="s">
        <v>74</v>
      </c>
      <c r="F74" s="114" t="str">
        <f>CONCATENATE("dif ",RIGHT(E73,2),"/",RIGHT(C73,2))</f>
        <v>dif 23/22</v>
      </c>
      <c r="G74" s="115" t="s">
        <v>74</v>
      </c>
      <c r="H74" s="114" t="str">
        <f>CONCATENATE("dif ",RIGHT(G73,2),"/",RIGHT(E73,2))</f>
        <v>dif 24/23</v>
      </c>
      <c r="I74" s="115" t="s">
        <v>74</v>
      </c>
      <c r="J74" s="114" t="str">
        <f>CONCATENATE("dif ",RIGHT(I73,2),"/",RIGHT(G73,2))</f>
        <v>dif 25/24</v>
      </c>
      <c r="K74" s="115" t="s">
        <v>74</v>
      </c>
      <c r="L74" s="114" t="str">
        <f>CONCATENATE("def ",RIGHT(K73,2),"/",RIGHT(I73,2))</f>
        <v>def 26/25</v>
      </c>
    </row>
    <row r="75" spans="1:13" x14ac:dyDescent="0.25">
      <c r="A75" s="1"/>
      <c r="B75" s="116" t="s">
        <v>76</v>
      </c>
      <c r="C75" s="187">
        <v>2.5154440154440154</v>
      </c>
      <c r="D75" s="188">
        <v>0.6052088382330183</v>
      </c>
      <c r="E75" s="187">
        <v>2.5057291666666668</v>
      </c>
      <c r="F75" s="188">
        <f t="shared" ref="F75:H87" si="21">IFERROR(E75-C75,"-")</f>
        <v>-9.7148487773486281E-3</v>
      </c>
      <c r="G75" s="187">
        <v>2.5794017884674685</v>
      </c>
      <c r="H75" s="188">
        <f t="shared" si="21"/>
        <v>7.3672621800801696E-2</v>
      </c>
      <c r="I75" s="187">
        <v>1.9082215871620136</v>
      </c>
      <c r="J75" s="188">
        <f t="shared" ref="J75:J87" si="22">IFERROR(I75-G75,"-")</f>
        <v>-0.67118020130545486</v>
      </c>
      <c r="K75" s="187">
        <v>1.868734447209385</v>
      </c>
      <c r="L75" s="188">
        <f>IFERROR(K75-I75,"-")</f>
        <v>-3.9487139952628647E-2</v>
      </c>
    </row>
    <row r="76" spans="1:13" x14ac:dyDescent="0.25">
      <c r="A76" s="1"/>
      <c r="B76" s="116" t="s">
        <v>78</v>
      </c>
      <c r="C76" s="187">
        <v>2.2815777116919707</v>
      </c>
      <c r="D76" s="188">
        <v>0.46481498354595718</v>
      </c>
      <c r="E76" s="187">
        <v>2.1584302325581395</v>
      </c>
      <c r="F76" s="188">
        <f t="shared" si="21"/>
        <v>-0.12314747913383117</v>
      </c>
      <c r="G76" s="187">
        <v>2.3327036104114192</v>
      </c>
      <c r="H76" s="188">
        <f t="shared" si="21"/>
        <v>0.17427337785327968</v>
      </c>
      <c r="I76" s="187">
        <v>1.7788253142609449</v>
      </c>
      <c r="J76" s="188">
        <f t="shared" si="22"/>
        <v>-0.55387829615047424</v>
      </c>
      <c r="K76" s="187">
        <v>1.8524755470404357</v>
      </c>
      <c r="L76" s="188">
        <f t="shared" ref="L76:L81" si="23">IFERROR(K76-I76,"-")</f>
        <v>7.3650232779490787E-2</v>
      </c>
    </row>
    <row r="77" spans="1:13" x14ac:dyDescent="0.25">
      <c r="A77" s="1"/>
      <c r="B77" s="116" t="s">
        <v>80</v>
      </c>
      <c r="C77" s="187">
        <v>2.1930087051142548</v>
      </c>
      <c r="D77" s="188">
        <v>0.28943582651092559</v>
      </c>
      <c r="E77" s="187">
        <v>2.374388661543068</v>
      </c>
      <c r="F77" s="188">
        <f t="shared" si="21"/>
        <v>0.18137995642881322</v>
      </c>
      <c r="G77" s="187">
        <v>2.5770098441345364</v>
      </c>
      <c r="H77" s="188">
        <f t="shared" si="21"/>
        <v>0.20262118259146833</v>
      </c>
      <c r="I77" s="187">
        <v>1.8978652155713687</v>
      </c>
      <c r="J77" s="188">
        <f t="shared" si="22"/>
        <v>-0.67914462856316771</v>
      </c>
      <c r="K77" s="187">
        <v>1.8732112192329708</v>
      </c>
      <c r="L77" s="188">
        <f t="shared" si="23"/>
        <v>-2.4653996338397821E-2</v>
      </c>
    </row>
    <row r="78" spans="1:13" x14ac:dyDescent="0.25">
      <c r="A78" s="1"/>
      <c r="B78" s="116" t="s">
        <v>82</v>
      </c>
      <c r="C78" s="187">
        <v>2.3559378101223949</v>
      </c>
      <c r="D78" s="188">
        <v>0.40500463733491743</v>
      </c>
      <c r="E78" s="187">
        <v>2.0755274828652062</v>
      </c>
      <c r="F78" s="188">
        <f t="shared" si="21"/>
        <v>-0.28041032725718873</v>
      </c>
      <c r="G78" s="187">
        <v>2.250762970498474</v>
      </c>
      <c r="H78" s="188">
        <f t="shared" si="21"/>
        <v>0.17523548763326779</v>
      </c>
      <c r="I78" s="187">
        <v>1.9237776289350301</v>
      </c>
      <c r="J78" s="188">
        <f t="shared" si="22"/>
        <v>-0.32698534156344383</v>
      </c>
      <c r="K78" s="187">
        <v>1.9508059701492537</v>
      </c>
      <c r="L78" s="188">
        <f t="shared" si="23"/>
        <v>2.7028341214223595E-2</v>
      </c>
    </row>
    <row r="79" spans="1:13" x14ac:dyDescent="0.25">
      <c r="A79" s="1"/>
      <c r="B79" s="116" t="s">
        <v>84</v>
      </c>
      <c r="C79" s="187">
        <v>2.460375816993464</v>
      </c>
      <c r="D79" s="188">
        <v>0.56525564219375535</v>
      </c>
      <c r="E79" s="187">
        <v>2.4736988588922904</v>
      </c>
      <c r="F79" s="188">
        <f t="shared" si="21"/>
        <v>1.3323041898826382E-2</v>
      </c>
      <c r="G79" s="187">
        <v>2.1684458616387077</v>
      </c>
      <c r="H79" s="188">
        <f t="shared" si="21"/>
        <v>-0.30525299725358268</v>
      </c>
      <c r="I79" s="187">
        <v>1.9008810572687225</v>
      </c>
      <c r="J79" s="188">
        <f t="shared" si="22"/>
        <v>-0.2675648043699852</v>
      </c>
      <c r="K79" s="187">
        <v>2.1437405983620259</v>
      </c>
      <c r="L79" s="188">
        <f t="shared" si="23"/>
        <v>0.24285954109330343</v>
      </c>
    </row>
    <row r="80" spans="1:13" x14ac:dyDescent="0.25">
      <c r="A80" s="1"/>
      <c r="B80" s="116" t="s">
        <v>86</v>
      </c>
      <c r="C80" s="187">
        <v>2.1475826972010177</v>
      </c>
      <c r="D80" s="188">
        <v>0.14986267896116368</v>
      </c>
      <c r="E80" s="187">
        <v>2.0769230769230771</v>
      </c>
      <c r="F80" s="188">
        <f t="shared" si="21"/>
        <v>-7.0659620277940594E-2</v>
      </c>
      <c r="G80" s="187">
        <v>1.8747030878859858</v>
      </c>
      <c r="H80" s="188">
        <f t="shared" si="21"/>
        <v>-0.20221998903709126</v>
      </c>
      <c r="I80" s="187">
        <v>1.9747614650661742</v>
      </c>
      <c r="J80" s="188">
        <f t="shared" si="22"/>
        <v>0.1000583771801884</v>
      </c>
      <c r="K80" s="187">
        <v>2.0590192644483363</v>
      </c>
      <c r="L80" s="188">
        <f t="shared" si="23"/>
        <v>8.4257799382162046E-2</v>
      </c>
    </row>
    <row r="81" spans="1:12" x14ac:dyDescent="0.25">
      <c r="A81" s="1"/>
      <c r="B81" s="116" t="s">
        <v>88</v>
      </c>
      <c r="C81" s="187">
        <v>2.1458937198067631</v>
      </c>
      <c r="D81" s="188">
        <v>8.2412491137821231E-2</v>
      </c>
      <c r="E81" s="187">
        <v>2.0378807602186932</v>
      </c>
      <c r="F81" s="188">
        <f t="shared" si="21"/>
        <v>-0.10801295958806989</v>
      </c>
      <c r="G81" s="187">
        <v>1.8237306843267109</v>
      </c>
      <c r="H81" s="188">
        <f t="shared" si="21"/>
        <v>-0.21415007589198232</v>
      </c>
      <c r="I81" s="187">
        <v>1.8080418617460754</v>
      </c>
      <c r="J81" s="188">
        <f t="shared" si="22"/>
        <v>-1.5688822580635531E-2</v>
      </c>
      <c r="K81" s="187">
        <v>1.9145176695319961</v>
      </c>
      <c r="L81" s="188">
        <f t="shared" si="23"/>
        <v>0.1064758077859207</v>
      </c>
    </row>
    <row r="82" spans="1:12" x14ac:dyDescent="0.25">
      <c r="A82" s="1"/>
      <c r="B82" s="116" t="s">
        <v>90</v>
      </c>
      <c r="C82" s="187">
        <v>2.2209543568464731</v>
      </c>
      <c r="D82" s="188">
        <v>-3.4658769232974063E-2</v>
      </c>
      <c r="E82" s="187">
        <v>2.5425839047275351</v>
      </c>
      <c r="F82" s="188">
        <f t="shared" si="21"/>
        <v>0.32162954788106202</v>
      </c>
      <c r="G82" s="187">
        <v>2.1189308069700559</v>
      </c>
      <c r="H82" s="188">
        <f t="shared" si="21"/>
        <v>-0.42365309775747928</v>
      </c>
      <c r="I82" s="187">
        <v>2.3591368045931498</v>
      </c>
      <c r="J82" s="188">
        <f t="shared" si="22"/>
        <v>0.24020599762309391</v>
      </c>
      <c r="K82" s="187"/>
      <c r="L82" s="188"/>
    </row>
    <row r="83" spans="1:12" x14ac:dyDescent="0.25">
      <c r="A83" s="1"/>
      <c r="B83" s="116" t="s">
        <v>92</v>
      </c>
      <c r="C83" s="187">
        <v>2.0783111625216888</v>
      </c>
      <c r="D83" s="188">
        <v>7.0914961479496608E-2</v>
      </c>
      <c r="E83" s="187">
        <v>2.1240322081139671</v>
      </c>
      <c r="F83" s="188">
        <f t="shared" si="21"/>
        <v>4.5721045592278298E-2</v>
      </c>
      <c r="G83" s="187">
        <v>1.9859333239555492</v>
      </c>
      <c r="H83" s="188">
        <f t="shared" si="21"/>
        <v>-0.13809888415841787</v>
      </c>
      <c r="I83" s="187">
        <v>2.004119464469619</v>
      </c>
      <c r="J83" s="188">
        <f t="shared" si="22"/>
        <v>1.8186140514069749E-2</v>
      </c>
      <c r="K83" s="187"/>
      <c r="L83" s="188"/>
    </row>
    <row r="84" spans="1:12" x14ac:dyDescent="0.25">
      <c r="A84" s="1"/>
      <c r="B84" s="116" t="s">
        <v>94</v>
      </c>
      <c r="C84" s="187">
        <v>2.2074144087376601</v>
      </c>
      <c r="D84" s="188">
        <v>0.25675373963448322</v>
      </c>
      <c r="E84" s="187">
        <v>2.4078617596623135</v>
      </c>
      <c r="F84" s="188">
        <f t="shared" si="21"/>
        <v>0.20044735092465338</v>
      </c>
      <c r="G84" s="187">
        <v>2.0581231395895347</v>
      </c>
      <c r="H84" s="188">
        <f t="shared" si="21"/>
        <v>-0.34973862007277878</v>
      </c>
      <c r="I84" s="187">
        <v>2.0532254108413048</v>
      </c>
      <c r="J84" s="188">
        <f t="shared" si="22"/>
        <v>-4.8977287482299126E-3</v>
      </c>
      <c r="K84" s="187"/>
      <c r="L84" s="188"/>
    </row>
    <row r="85" spans="1:12" x14ac:dyDescent="0.25">
      <c r="A85" s="1"/>
      <c r="B85" s="116" t="s">
        <v>96</v>
      </c>
      <c r="C85" s="187">
        <v>2.1468809073724007</v>
      </c>
      <c r="D85" s="188">
        <v>0.11662593604142613</v>
      </c>
      <c r="E85" s="187">
        <v>2.4931281569364501</v>
      </c>
      <c r="F85" s="188">
        <f t="shared" si="21"/>
        <v>0.3462472495640494</v>
      </c>
      <c r="G85" s="187">
        <v>1.8215313122372205</v>
      </c>
      <c r="H85" s="188">
        <f t="shared" si="21"/>
        <v>-0.67159684469922953</v>
      </c>
      <c r="I85" s="187">
        <v>1.8396334478808705</v>
      </c>
      <c r="J85" s="188">
        <f t="shared" si="22"/>
        <v>1.810213564364993E-2</v>
      </c>
      <c r="K85" s="187"/>
      <c r="L85" s="188"/>
    </row>
    <row r="86" spans="1:12" x14ac:dyDescent="0.25">
      <c r="A86" s="1"/>
      <c r="B86" s="116" t="s">
        <v>98</v>
      </c>
      <c r="C86" s="187">
        <v>2.214271975379881</v>
      </c>
      <c r="D86" s="188">
        <v>-0.11995450889596171</v>
      </c>
      <c r="E86" s="187">
        <v>2.7471658317954124</v>
      </c>
      <c r="F86" s="188">
        <f t="shared" si="21"/>
        <v>0.53289385641553144</v>
      </c>
      <c r="G86" s="187">
        <v>1.9440946591402519</v>
      </c>
      <c r="H86" s="188">
        <f t="shared" si="21"/>
        <v>-0.80307117265516048</v>
      </c>
      <c r="I86" s="187">
        <v>1.7983042394014963</v>
      </c>
      <c r="J86" s="188">
        <f t="shared" si="22"/>
        <v>-0.14579041973875562</v>
      </c>
      <c r="K86" s="187"/>
      <c r="L86" s="188"/>
    </row>
    <row r="87" spans="1:12" ht="15.75" x14ac:dyDescent="0.25">
      <c r="B87" s="119" t="s">
        <v>32</v>
      </c>
      <c r="C87" s="189">
        <v>2.233020099749556</v>
      </c>
      <c r="D87" s="190">
        <v>0.20594634824092806</v>
      </c>
      <c r="E87" s="189">
        <v>2.3353679860117627</v>
      </c>
      <c r="F87" s="190">
        <f t="shared" si="21"/>
        <v>0.1023478862622067</v>
      </c>
      <c r="G87" s="189">
        <v>2.1392374444410849</v>
      </c>
      <c r="H87" s="190">
        <f t="shared" si="21"/>
        <v>-0.19613054157067777</v>
      </c>
      <c r="I87" s="189">
        <v>1.9168237830855928</v>
      </c>
      <c r="J87" s="190">
        <f t="shared" si="22"/>
        <v>-0.22241366135549212</v>
      </c>
      <c r="K87" s="189">
        <v>1.9306736090757055</v>
      </c>
      <c r="L87" s="190">
        <v>4.9511309311642382E-2</v>
      </c>
    </row>
    <row r="88" spans="1:12" ht="6" customHeight="1" x14ac:dyDescent="0.25"/>
    <row r="89" spans="1:12" x14ac:dyDescent="0.25">
      <c r="B89" s="107" t="s">
        <v>57</v>
      </c>
      <c r="C89" s="193"/>
      <c r="D89" s="193"/>
      <c r="E89" s="193"/>
      <c r="F89" s="193"/>
      <c r="G89" s="193"/>
      <c r="H89" s="193"/>
      <c r="I89" s="193"/>
      <c r="J89" s="193"/>
      <c r="K89" s="193"/>
      <c r="L89" s="193"/>
    </row>
  </sheetData>
  <mergeCells count="28"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CE2E5-D7ED-43E7-9DA9-585E7CBDE78F}">
  <sheetPr>
    <tabColor rgb="FF7030A0"/>
  </sheetPr>
  <dimension ref="A4:A24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4CC1C-B300-48C5-88B7-CB06ED5989F3}">
  <sheetPr>
    <tabColor rgb="FFAC75D5"/>
  </sheetPr>
  <dimension ref="A1:AA89"/>
  <sheetViews>
    <sheetView showGridLines="0" zoomScaleNormal="100" workbookViewId="0"/>
  </sheetViews>
  <sheetFormatPr baseColWidth="10" defaultColWidth="11.42578125" defaultRowHeight="15" x14ac:dyDescent="0.25"/>
  <cols>
    <col min="1" max="1" width="15.28515625" customWidth="1"/>
    <col min="3" max="3" width="15.85546875" bestFit="1" customWidth="1"/>
    <col min="11" max="11" width="14.7109375" bestFit="1" customWidth="1"/>
    <col min="13" max="13" width="14.85546875" customWidth="1"/>
  </cols>
  <sheetData>
    <row r="1" spans="1:14" ht="18.75" x14ac:dyDescent="0.3">
      <c r="C1" s="81"/>
      <c r="D1" s="195"/>
    </row>
    <row r="2" spans="1:14" ht="18.75" x14ac:dyDescent="0.3">
      <c r="D2" s="195"/>
    </row>
    <row r="4" spans="1:14" ht="48.75" customHeight="1" thickBot="1" x14ac:dyDescent="0.3">
      <c r="B4" s="273" t="s">
        <v>311</v>
      </c>
      <c r="C4" s="273"/>
      <c r="D4" s="273"/>
      <c r="E4" s="273"/>
      <c r="F4" s="273"/>
      <c r="G4" s="273"/>
      <c r="H4" s="273"/>
      <c r="I4" s="273"/>
      <c r="J4" s="273"/>
      <c r="K4" s="273"/>
      <c r="L4" s="273"/>
      <c r="N4" s="1" t="s">
        <v>156</v>
      </c>
    </row>
    <row r="5" spans="1:14" ht="10.5" customHeight="1" thickBot="1" x14ac:dyDescent="0.3">
      <c r="B5" s="109"/>
      <c r="C5" s="110"/>
      <c r="D5" s="109"/>
      <c r="E5" s="109"/>
      <c r="F5" s="109"/>
      <c r="G5" s="109"/>
      <c r="H5" s="109"/>
      <c r="I5" s="109"/>
      <c r="J5" s="109"/>
      <c r="K5" s="4"/>
      <c r="L5" s="4"/>
      <c r="N5" s="1" t="s">
        <v>157</v>
      </c>
    </row>
    <row r="6" spans="1:14" ht="22.5" thickTop="1" thickBot="1" x14ac:dyDescent="0.3">
      <c r="B6" s="112"/>
      <c r="C6" s="298" t="s">
        <v>158</v>
      </c>
      <c r="D6" s="299"/>
      <c r="E6" s="299"/>
      <c r="F6" s="299"/>
      <c r="G6" s="299"/>
      <c r="H6" s="299"/>
      <c r="I6" s="299"/>
      <c r="J6" s="299"/>
      <c r="K6" s="299"/>
      <c r="L6" s="299"/>
    </row>
    <row r="7" spans="1:14" ht="22.5" thickTop="1" thickBot="1" x14ac:dyDescent="0.3">
      <c r="B7" s="112"/>
      <c r="C7" s="303">
        <f t="shared" ref="C7" si="0">E7-1</f>
        <v>2022</v>
      </c>
      <c r="D7" s="301"/>
      <c r="E7" s="300">
        <f t="shared" ref="E7" si="1">G7-1</f>
        <v>2023</v>
      </c>
      <c r="F7" s="301"/>
      <c r="G7" s="300">
        <f t="shared" ref="G7" si="2">I7-1</f>
        <v>2024</v>
      </c>
      <c r="H7" s="301"/>
      <c r="I7" s="300">
        <f>K7-1</f>
        <v>2025</v>
      </c>
      <c r="J7" s="301"/>
      <c r="K7" s="300">
        <v>2026</v>
      </c>
      <c r="L7" s="302"/>
    </row>
    <row r="8" spans="1:14" ht="16.5" thickTop="1" thickBot="1" x14ac:dyDescent="0.3">
      <c r="B8" s="87"/>
      <c r="C8" s="113" t="s">
        <v>74</v>
      </c>
      <c r="D8" s="114" t="str">
        <f>CONCATENATE("dif ",RIGHT(C7,2),"/",RIGHT(C7-1,2))</f>
        <v>dif 22/21</v>
      </c>
      <c r="E8" s="115" t="s">
        <v>74</v>
      </c>
      <c r="F8" s="114" t="str">
        <f>CONCATENATE("dif ",RIGHT(E7,2),"/",RIGHT(C7,2))</f>
        <v>dif 23/22</v>
      </c>
      <c r="G8" s="115" t="s">
        <v>74</v>
      </c>
      <c r="H8" s="114" t="str">
        <f>CONCATENATE("dif ",RIGHT(G7,2),"/",RIGHT(E7,2))</f>
        <v>dif 24/23</v>
      </c>
      <c r="I8" s="115" t="s">
        <v>74</v>
      </c>
      <c r="J8" s="114" t="str">
        <f>CONCATENATE("dif ",RIGHT(I7,2),"/",RIGHT(G7,2))</f>
        <v>dif 25/24</v>
      </c>
      <c r="K8" s="115" t="s">
        <v>74</v>
      </c>
      <c r="L8" s="114" t="str">
        <f>CONCATENATE("var ",RIGHT(K7,2),"/",RIGHT(I7,2))</f>
        <v>var 26/25</v>
      </c>
    </row>
    <row r="9" spans="1:14" x14ac:dyDescent="0.25">
      <c r="A9" s="1" t="s">
        <v>75</v>
      </c>
      <c r="B9" s="116" t="s">
        <v>76</v>
      </c>
      <c r="C9" s="196">
        <v>0.51840000000000008</v>
      </c>
      <c r="D9" s="118">
        <v>1.9371104815864029</v>
      </c>
      <c r="E9" s="196">
        <v>0.67859999999999998</v>
      </c>
      <c r="F9" s="118">
        <f t="shared" ref="F9:J21" si="3">IFERROR(E9/C9-1,"-")</f>
        <v>0.30902777777777746</v>
      </c>
      <c r="G9" s="196">
        <v>0.71819999999999995</v>
      </c>
      <c r="H9" s="118">
        <f t="shared" si="3"/>
        <v>5.8355437665782439E-2</v>
      </c>
      <c r="I9" s="196">
        <v>0.68730000000000002</v>
      </c>
      <c r="J9" s="118">
        <f t="shared" si="3"/>
        <v>-4.3024227234753409E-2</v>
      </c>
      <c r="K9" s="196">
        <v>0.67069999999999996</v>
      </c>
      <c r="L9" s="118">
        <f t="shared" ref="L9:L15" si="4">IFERROR(K9/I9-1,"-")</f>
        <v>-2.4152480721664538E-2</v>
      </c>
    </row>
    <row r="10" spans="1:14" x14ac:dyDescent="0.25">
      <c r="A10" s="1" t="s">
        <v>77</v>
      </c>
      <c r="B10" s="116" t="s">
        <v>78</v>
      </c>
      <c r="C10" s="196">
        <v>0.60040000000000004</v>
      </c>
      <c r="D10" s="118">
        <v>0.83946078431372539</v>
      </c>
      <c r="E10" s="196">
        <v>0.6581999999999999</v>
      </c>
      <c r="F10" s="118">
        <f t="shared" si="3"/>
        <v>9.6269153897401427E-2</v>
      </c>
      <c r="G10" s="196">
        <v>0.69579999999999997</v>
      </c>
      <c r="H10" s="118">
        <f t="shared" si="3"/>
        <v>5.712549377089049E-2</v>
      </c>
      <c r="I10" s="196">
        <v>0.70169999999999999</v>
      </c>
      <c r="J10" s="118">
        <f t="shared" si="3"/>
        <v>8.4794481172751901E-3</v>
      </c>
      <c r="K10" s="196">
        <v>0.69420000000000004</v>
      </c>
      <c r="L10" s="118">
        <f t="shared" si="4"/>
        <v>-1.0688328345446751E-2</v>
      </c>
    </row>
    <row r="11" spans="1:14" x14ac:dyDescent="0.25">
      <c r="A11" s="1" t="s">
        <v>79</v>
      </c>
      <c r="B11" s="116" t="s">
        <v>80</v>
      </c>
      <c r="C11" s="196">
        <v>0.59799999999999998</v>
      </c>
      <c r="D11" s="118">
        <v>0.83660933660933656</v>
      </c>
      <c r="E11" s="196">
        <v>0.65930000000000011</v>
      </c>
      <c r="F11" s="118">
        <f t="shared" si="3"/>
        <v>0.10250836120401363</v>
      </c>
      <c r="G11" s="196">
        <v>0.68220000000000003</v>
      </c>
      <c r="H11" s="118">
        <f t="shared" si="3"/>
        <v>3.4733808584862524E-2</v>
      </c>
      <c r="I11" s="196">
        <v>0.68340000000000001</v>
      </c>
      <c r="J11" s="118">
        <f t="shared" si="3"/>
        <v>1.7590149516271136E-3</v>
      </c>
      <c r="K11" s="196">
        <v>0.64359999999999995</v>
      </c>
      <c r="L11" s="118">
        <f t="shared" si="4"/>
        <v>-5.8238220661398943E-2</v>
      </c>
    </row>
    <row r="12" spans="1:14" x14ac:dyDescent="0.25">
      <c r="A12" s="1" t="s">
        <v>81</v>
      </c>
      <c r="B12" s="116" t="s">
        <v>82</v>
      </c>
      <c r="C12" s="196">
        <v>0.55030000000000001</v>
      </c>
      <c r="D12" s="118">
        <v>1.0076614374315942</v>
      </c>
      <c r="E12" s="196">
        <v>0.49869999999999998</v>
      </c>
      <c r="F12" s="118">
        <f t="shared" si="3"/>
        <v>-9.3767036162093476E-2</v>
      </c>
      <c r="G12" s="196">
        <v>0.55449999999999999</v>
      </c>
      <c r="H12" s="118">
        <f t="shared" si="3"/>
        <v>0.11189091638259474</v>
      </c>
      <c r="I12" s="196">
        <v>0.58630000000000004</v>
      </c>
      <c r="J12" s="118">
        <f t="shared" si="3"/>
        <v>5.7348963029756561E-2</v>
      </c>
      <c r="K12" s="196">
        <v>0.54710000000000003</v>
      </c>
      <c r="L12" s="118">
        <f t="shared" si="4"/>
        <v>-6.6859969298993738E-2</v>
      </c>
    </row>
    <row r="13" spans="1:14" x14ac:dyDescent="0.25">
      <c r="A13" s="1" t="s">
        <v>83</v>
      </c>
      <c r="B13" s="116" t="s">
        <v>84</v>
      </c>
      <c r="C13" s="196">
        <v>0.53539999999999999</v>
      </c>
      <c r="D13" s="118">
        <v>0.64283522552930328</v>
      </c>
      <c r="E13" s="196">
        <v>0.48149999999999998</v>
      </c>
      <c r="F13" s="118">
        <f t="shared" si="3"/>
        <v>-0.10067239447142329</v>
      </c>
      <c r="G13" s="196">
        <v>0.44569999999999999</v>
      </c>
      <c r="H13" s="118">
        <f t="shared" si="3"/>
        <v>-7.4350986500519189E-2</v>
      </c>
      <c r="I13" s="196">
        <v>0.54890000000000005</v>
      </c>
      <c r="J13" s="118">
        <f t="shared" si="3"/>
        <v>0.23154588288086164</v>
      </c>
      <c r="K13" s="196">
        <v>0.50180000000000002</v>
      </c>
      <c r="L13" s="118">
        <f t="shared" si="4"/>
        <v>-8.5807979595554751E-2</v>
      </c>
    </row>
    <row r="14" spans="1:14" x14ac:dyDescent="0.25">
      <c r="A14" s="1" t="s">
        <v>85</v>
      </c>
      <c r="B14" s="116" t="s">
        <v>86</v>
      </c>
      <c r="C14" s="196">
        <v>0.49780000000000002</v>
      </c>
      <c r="D14" s="118">
        <v>0.32534611288604887</v>
      </c>
      <c r="E14" s="196">
        <v>0.47020000000000001</v>
      </c>
      <c r="F14" s="118">
        <f t="shared" si="3"/>
        <v>-5.5443953394937795E-2</v>
      </c>
      <c r="G14" s="196">
        <v>0.48170000000000002</v>
      </c>
      <c r="H14" s="118">
        <f t="shared" si="3"/>
        <v>2.4457677584006854E-2</v>
      </c>
      <c r="I14" s="196">
        <v>0.52880000000000005</v>
      </c>
      <c r="J14" s="118">
        <f t="shared" si="3"/>
        <v>9.7778700435956045E-2</v>
      </c>
      <c r="K14" s="196">
        <v>0.45520000000000005</v>
      </c>
      <c r="L14" s="118">
        <f t="shared" si="4"/>
        <v>-0.13918305597579428</v>
      </c>
    </row>
    <row r="15" spans="1:14" x14ac:dyDescent="0.25">
      <c r="A15" s="1" t="s">
        <v>87</v>
      </c>
      <c r="B15" s="116" t="s">
        <v>88</v>
      </c>
      <c r="C15" s="196">
        <v>0.52890000000000004</v>
      </c>
      <c r="D15" s="118">
        <v>0.24858356940509929</v>
      </c>
      <c r="E15" s="196">
        <v>0.50939999999999996</v>
      </c>
      <c r="F15" s="118">
        <f t="shared" si="3"/>
        <v>-3.6868973340896338E-2</v>
      </c>
      <c r="G15" s="196">
        <v>0.52629999999999999</v>
      </c>
      <c r="H15" s="118">
        <f t="shared" si="3"/>
        <v>3.3176285826462593E-2</v>
      </c>
      <c r="I15" s="196">
        <v>0.60099999999999998</v>
      </c>
      <c r="J15" s="118">
        <f t="shared" si="3"/>
        <v>0.14193425802774073</v>
      </c>
      <c r="K15" s="196">
        <v>0.52190000000000003</v>
      </c>
      <c r="L15" s="118">
        <f t="shared" si="4"/>
        <v>-0.1316139767054908</v>
      </c>
    </row>
    <row r="16" spans="1:14" x14ac:dyDescent="0.25">
      <c r="A16" s="1" t="s">
        <v>89</v>
      </c>
      <c r="B16" s="116" t="s">
        <v>90</v>
      </c>
      <c r="C16" s="196">
        <v>0.51259999999999994</v>
      </c>
      <c r="D16" s="118">
        <v>-1.2711864406779738E-2</v>
      </c>
      <c r="E16" s="196">
        <v>0.52780000000000005</v>
      </c>
      <c r="F16" s="118">
        <f t="shared" si="3"/>
        <v>2.9652750682793716E-2</v>
      </c>
      <c r="G16" s="196">
        <v>0.52239999999999998</v>
      </c>
      <c r="H16" s="118">
        <f t="shared" si="3"/>
        <v>-1.0231148162182735E-2</v>
      </c>
      <c r="I16" s="196">
        <v>0.62690000000000001</v>
      </c>
      <c r="J16" s="118">
        <f t="shared" si="3"/>
        <v>0.20003828483920372</v>
      </c>
      <c r="K16" s="196"/>
      <c r="L16" s="118"/>
    </row>
    <row r="17" spans="1:27" x14ac:dyDescent="0.25">
      <c r="A17" s="1" t="s">
        <v>91</v>
      </c>
      <c r="B17" s="116" t="s">
        <v>92</v>
      </c>
      <c r="C17" s="196">
        <v>0.498</v>
      </c>
      <c r="D17" s="118">
        <v>2.5535420098846684E-2</v>
      </c>
      <c r="E17" s="196">
        <v>0.48670000000000002</v>
      </c>
      <c r="F17" s="118">
        <f t="shared" si="3"/>
        <v>-2.269076305220874E-2</v>
      </c>
      <c r="G17" s="196">
        <v>0.57379999999999998</v>
      </c>
      <c r="H17" s="118">
        <f t="shared" si="3"/>
        <v>0.17896034518183668</v>
      </c>
      <c r="I17" s="196">
        <v>0.5696</v>
      </c>
      <c r="J17" s="118">
        <f t="shared" si="3"/>
        <v>-7.319623562216715E-3</v>
      </c>
      <c r="K17" s="196"/>
      <c r="L17" s="118"/>
    </row>
    <row r="18" spans="1:27" x14ac:dyDescent="0.25">
      <c r="A18" s="1" t="s">
        <v>93</v>
      </c>
      <c r="B18" s="116" t="s">
        <v>94</v>
      </c>
      <c r="C18" s="196">
        <v>0.54949999999999999</v>
      </c>
      <c r="D18" s="118">
        <v>-1.0622974432841215E-2</v>
      </c>
      <c r="E18" s="196">
        <v>0.57689999999999997</v>
      </c>
      <c r="F18" s="118">
        <f t="shared" si="3"/>
        <v>4.9863512283894407E-2</v>
      </c>
      <c r="G18" s="196">
        <v>0.52039999999999997</v>
      </c>
      <c r="H18" s="118">
        <f t="shared" si="3"/>
        <v>-9.793725082336624E-2</v>
      </c>
      <c r="I18" s="196">
        <v>0.6694</v>
      </c>
      <c r="J18" s="118">
        <f t="shared" si="3"/>
        <v>0.28631821675634139</v>
      </c>
      <c r="K18" s="196"/>
      <c r="L18" s="118"/>
      <c r="Z18" s="197"/>
    </row>
    <row r="19" spans="1:27" x14ac:dyDescent="0.25">
      <c r="A19" s="1" t="s">
        <v>95</v>
      </c>
      <c r="B19" s="116" t="s">
        <v>96</v>
      </c>
      <c r="C19" s="196">
        <v>0.65969999999999995</v>
      </c>
      <c r="D19" s="118">
        <v>3.956779789986431E-3</v>
      </c>
      <c r="E19" s="196">
        <v>0.67669999999999997</v>
      </c>
      <c r="F19" s="118">
        <f t="shared" si="3"/>
        <v>2.576928907078968E-2</v>
      </c>
      <c r="G19" s="196">
        <v>0.66159999999999997</v>
      </c>
      <c r="H19" s="118">
        <f t="shared" si="3"/>
        <v>-2.2314171715679065E-2</v>
      </c>
      <c r="I19" s="196">
        <v>0.70440000000000003</v>
      </c>
      <c r="J19" s="118">
        <f t="shared" si="3"/>
        <v>6.4691656590084801E-2</v>
      </c>
      <c r="K19" s="196"/>
      <c r="L19" s="118"/>
      <c r="Z19" s="197"/>
      <c r="AA19" s="197"/>
    </row>
    <row r="20" spans="1:27" x14ac:dyDescent="0.25">
      <c r="A20" s="1" t="s">
        <v>97</v>
      </c>
      <c r="B20" s="116" t="s">
        <v>98</v>
      </c>
      <c r="C20" s="196">
        <v>0.61580000000000001</v>
      </c>
      <c r="D20" s="118">
        <v>1.8019507356587861E-2</v>
      </c>
      <c r="E20" s="196">
        <v>0.62139999999999995</v>
      </c>
      <c r="F20" s="118">
        <f t="shared" si="3"/>
        <v>9.0938616433906549E-3</v>
      </c>
      <c r="G20" s="196">
        <v>0.66480000000000006</v>
      </c>
      <c r="H20" s="118">
        <f t="shared" si="3"/>
        <v>6.984229159961397E-2</v>
      </c>
      <c r="I20" s="196">
        <v>0.66159999999999997</v>
      </c>
      <c r="J20" s="118">
        <f t="shared" si="3"/>
        <v>-4.8134777376656057E-3</v>
      </c>
      <c r="K20" s="196"/>
      <c r="L20" s="118"/>
      <c r="M20" s="125"/>
    </row>
    <row r="21" spans="1:27" ht="15.75" x14ac:dyDescent="0.25">
      <c r="A21" s="1" t="s">
        <v>0</v>
      </c>
      <c r="B21" s="119" t="s">
        <v>32</v>
      </c>
      <c r="C21" s="198">
        <v>0.55540181632567553</v>
      </c>
      <c r="D21" s="121">
        <v>0.28306264201249109</v>
      </c>
      <c r="E21" s="198">
        <v>0.57078552018499329</v>
      </c>
      <c r="F21" s="121">
        <f t="shared" si="3"/>
        <v>2.7698331923165842E-2</v>
      </c>
      <c r="G21" s="198">
        <v>0.58707862058971227</v>
      </c>
      <c r="H21" s="121">
        <f t="shared" si="3"/>
        <v>2.8545048583990651E-2</v>
      </c>
      <c r="I21" s="198">
        <v>0.63035262548776616</v>
      </c>
      <c r="J21" s="121">
        <f t="shared" si="3"/>
        <v>7.3710749089424876E-2</v>
      </c>
      <c r="K21" s="198">
        <v>0.57580690456131334</v>
      </c>
      <c r="L21" s="121">
        <v>-6.9839548185171352E-2</v>
      </c>
      <c r="M21" s="311"/>
    </row>
    <row r="22" spans="1:27" ht="6" customHeight="1" x14ac:dyDescent="0.25">
      <c r="M22" s="311"/>
    </row>
    <row r="23" spans="1:27" x14ac:dyDescent="0.25">
      <c r="B23" s="107" t="s">
        <v>57</v>
      </c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311"/>
    </row>
    <row r="24" spans="1:27" x14ac:dyDescent="0.25">
      <c r="C24" s="199"/>
      <c r="I24" s="199"/>
      <c r="K24" s="199"/>
      <c r="L24" s="118"/>
      <c r="M24" s="311"/>
    </row>
    <row r="26" spans="1:27" ht="21.75" customHeight="1" thickBot="1" x14ac:dyDescent="0.3">
      <c r="B26" s="273" t="s">
        <v>312</v>
      </c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N26" s="1" t="s">
        <v>159</v>
      </c>
    </row>
    <row r="27" spans="1:27" ht="10.5" customHeight="1" thickBot="1" x14ac:dyDescent="0.3">
      <c r="B27" s="109"/>
      <c r="C27" s="110"/>
      <c r="D27" s="109"/>
      <c r="E27" s="109"/>
      <c r="F27" s="109"/>
      <c r="G27" s="109"/>
      <c r="H27" s="109"/>
      <c r="I27" s="109"/>
      <c r="J27" s="109"/>
      <c r="K27" s="4"/>
      <c r="L27" s="4"/>
      <c r="N27" s="1" t="s">
        <v>160</v>
      </c>
    </row>
    <row r="28" spans="1:27" ht="22.5" thickTop="1" thickBot="1" x14ac:dyDescent="0.3">
      <c r="B28" s="112"/>
      <c r="C28" s="298" t="s">
        <v>62</v>
      </c>
      <c r="D28" s="299"/>
      <c r="E28" s="299"/>
      <c r="F28" s="299"/>
      <c r="G28" s="299"/>
      <c r="H28" s="299"/>
      <c r="I28" s="299"/>
      <c r="J28" s="299"/>
      <c r="K28" s="299"/>
      <c r="L28" s="299"/>
    </row>
    <row r="29" spans="1:27" ht="22.5" thickTop="1" thickBot="1" x14ac:dyDescent="0.3">
      <c r="B29" s="112"/>
      <c r="C29" s="303">
        <f t="shared" ref="C29" si="5">E29-1</f>
        <v>2022</v>
      </c>
      <c r="D29" s="301"/>
      <c r="E29" s="300">
        <f t="shared" ref="E29" si="6">G29-1</f>
        <v>2023</v>
      </c>
      <c r="F29" s="301"/>
      <c r="G29" s="300">
        <f t="shared" ref="G29" si="7">I29-1</f>
        <v>2024</v>
      </c>
      <c r="H29" s="301"/>
      <c r="I29" s="300">
        <f>K29-1</f>
        <v>2025</v>
      </c>
      <c r="J29" s="301"/>
      <c r="K29" s="300">
        <v>2026</v>
      </c>
      <c r="L29" s="302"/>
    </row>
    <row r="30" spans="1:27" ht="16.5" thickTop="1" thickBot="1" x14ac:dyDescent="0.3">
      <c r="B30" s="87"/>
      <c r="C30" s="113" t="s">
        <v>74</v>
      </c>
      <c r="D30" s="114" t="str">
        <f>CONCATENATE("var ",RIGHT(C29,2),"/",RIGHT(C29-1,2))</f>
        <v>var 22/21</v>
      </c>
      <c r="E30" s="115" t="s">
        <v>74</v>
      </c>
      <c r="F30" s="114" t="str">
        <f>CONCATENATE("var ",RIGHT(E29,2),"/",RIGHT(C29,2))</f>
        <v>var 23/22</v>
      </c>
      <c r="G30" s="115" t="s">
        <v>74</v>
      </c>
      <c r="H30" s="114" t="str">
        <f>CONCATENATE("var ",RIGHT(G29,2),"/",RIGHT(E29,2))</f>
        <v>var 24/23</v>
      </c>
      <c r="I30" s="115" t="s">
        <v>74</v>
      </c>
      <c r="J30" s="114" t="str">
        <f>CONCATENATE("var ",RIGHT(I29,2),"/",RIGHT(G29,2))</f>
        <v>var 25/24</v>
      </c>
      <c r="K30" s="115" t="s">
        <v>74</v>
      </c>
      <c r="L30" s="114" t="str">
        <f>CONCATENATE("var ",RIGHT(K29,2),"/",RIGHT(I29,2))</f>
        <v>var 26/25</v>
      </c>
    </row>
    <row r="31" spans="1:27" x14ac:dyDescent="0.25">
      <c r="B31" s="116" t="s">
        <v>76</v>
      </c>
      <c r="C31" s="196">
        <v>0.51840000000000008</v>
      </c>
      <c r="D31" s="118">
        <v>1.9371104815864029</v>
      </c>
      <c r="E31" s="196">
        <v>0.67859999999999998</v>
      </c>
      <c r="F31" s="118">
        <f t="shared" ref="F31:H43" si="8">IFERROR(E31/C31-1,"-")</f>
        <v>0.30902777777777746</v>
      </c>
      <c r="G31" s="196">
        <v>0.71819999999999995</v>
      </c>
      <c r="H31" s="118">
        <f t="shared" si="8"/>
        <v>5.8355437665782439E-2</v>
      </c>
      <c r="I31" s="196">
        <v>0.68730000000000002</v>
      </c>
      <c r="J31" s="118">
        <f t="shared" ref="J31:J43" si="9">IFERROR(I31/G31-1,"-")</f>
        <v>-4.3024227234753409E-2</v>
      </c>
      <c r="K31" s="196">
        <v>0.67069999999999996</v>
      </c>
      <c r="L31" s="118">
        <f t="shared" ref="L31:L37" si="10">IFERROR(K31/I31-1,"-")</f>
        <v>-2.4152480721664538E-2</v>
      </c>
    </row>
    <row r="32" spans="1:27" x14ac:dyDescent="0.25">
      <c r="B32" s="116" t="s">
        <v>78</v>
      </c>
      <c r="C32" s="196">
        <v>0.60040000000000004</v>
      </c>
      <c r="D32" s="118">
        <v>0.83946078431372539</v>
      </c>
      <c r="E32" s="196">
        <v>0.6581999999999999</v>
      </c>
      <c r="F32" s="118">
        <f t="shared" si="8"/>
        <v>9.6269153897401427E-2</v>
      </c>
      <c r="G32" s="196">
        <v>0.69579999999999997</v>
      </c>
      <c r="H32" s="118">
        <f t="shared" si="8"/>
        <v>5.712549377089049E-2</v>
      </c>
      <c r="I32" s="196">
        <v>0.70169999999999999</v>
      </c>
      <c r="J32" s="118">
        <f t="shared" si="9"/>
        <v>8.4794481172751901E-3</v>
      </c>
      <c r="K32" s="196">
        <v>0.69420000000000004</v>
      </c>
      <c r="L32" s="118">
        <f t="shared" si="10"/>
        <v>-1.0688328345446751E-2</v>
      </c>
    </row>
    <row r="33" spans="2:14" x14ac:dyDescent="0.25">
      <c r="B33" s="116" t="s">
        <v>80</v>
      </c>
      <c r="C33" s="196">
        <v>0.59799999999999998</v>
      </c>
      <c r="D33" s="118">
        <v>0.83660933660933656</v>
      </c>
      <c r="E33" s="196">
        <v>0.65930000000000011</v>
      </c>
      <c r="F33" s="118">
        <f t="shared" si="8"/>
        <v>0.10250836120401363</v>
      </c>
      <c r="G33" s="196">
        <v>0.68220000000000003</v>
      </c>
      <c r="H33" s="118">
        <f t="shared" si="8"/>
        <v>3.4733808584862524E-2</v>
      </c>
      <c r="I33" s="196">
        <v>0.68340000000000001</v>
      </c>
      <c r="J33" s="118">
        <f t="shared" si="9"/>
        <v>1.7590149516271136E-3</v>
      </c>
      <c r="K33" s="196">
        <v>0.64359999999999995</v>
      </c>
      <c r="L33" s="118">
        <f t="shared" si="10"/>
        <v>-5.8238220661398943E-2</v>
      </c>
    </row>
    <row r="34" spans="2:14" x14ac:dyDescent="0.25">
      <c r="B34" s="116" t="s">
        <v>82</v>
      </c>
      <c r="C34" s="196">
        <v>0.55030000000000001</v>
      </c>
      <c r="D34" s="118">
        <v>1.0076614374315942</v>
      </c>
      <c r="E34" s="196">
        <v>0.49869999999999998</v>
      </c>
      <c r="F34" s="118">
        <f t="shared" si="8"/>
        <v>-9.3767036162093476E-2</v>
      </c>
      <c r="G34" s="196">
        <v>0.55449999999999999</v>
      </c>
      <c r="H34" s="118">
        <f t="shared" si="8"/>
        <v>0.11189091638259474</v>
      </c>
      <c r="I34" s="196">
        <v>0.58630000000000004</v>
      </c>
      <c r="J34" s="118">
        <f t="shared" si="9"/>
        <v>5.7348963029756561E-2</v>
      </c>
      <c r="K34" s="196">
        <v>0.54710000000000003</v>
      </c>
      <c r="L34" s="118">
        <f t="shared" si="10"/>
        <v>-6.6859969298993738E-2</v>
      </c>
    </row>
    <row r="35" spans="2:14" x14ac:dyDescent="0.25">
      <c r="B35" s="116" t="s">
        <v>84</v>
      </c>
      <c r="C35" s="196">
        <v>0.53539999999999999</v>
      </c>
      <c r="D35" s="118">
        <v>0.64283522552930328</v>
      </c>
      <c r="E35" s="196">
        <v>0.48149999999999998</v>
      </c>
      <c r="F35" s="118">
        <f t="shared" si="8"/>
        <v>-0.10067239447142329</v>
      </c>
      <c r="G35" s="196">
        <v>0.44569999999999999</v>
      </c>
      <c r="H35" s="118">
        <f t="shared" si="8"/>
        <v>-7.4350986500519189E-2</v>
      </c>
      <c r="I35" s="196">
        <v>0.54890000000000005</v>
      </c>
      <c r="J35" s="118">
        <f t="shared" si="9"/>
        <v>0.23154588288086164</v>
      </c>
      <c r="K35" s="196">
        <v>0.50180000000000002</v>
      </c>
      <c r="L35" s="118">
        <f t="shared" si="10"/>
        <v>-8.5807979595554751E-2</v>
      </c>
    </row>
    <row r="36" spans="2:14" x14ac:dyDescent="0.25">
      <c r="B36" s="116" t="s">
        <v>86</v>
      </c>
      <c r="C36" s="196">
        <v>0.49780000000000002</v>
      </c>
      <c r="D36" s="118">
        <v>0.32534611288604887</v>
      </c>
      <c r="E36" s="196">
        <v>0.47020000000000001</v>
      </c>
      <c r="F36" s="118">
        <f t="shared" si="8"/>
        <v>-5.5443953394937795E-2</v>
      </c>
      <c r="G36" s="196">
        <v>0.48170000000000002</v>
      </c>
      <c r="H36" s="118">
        <f t="shared" si="8"/>
        <v>2.4457677584006854E-2</v>
      </c>
      <c r="I36" s="196">
        <v>0.52880000000000005</v>
      </c>
      <c r="J36" s="118">
        <f t="shared" si="9"/>
        <v>9.7778700435956045E-2</v>
      </c>
      <c r="K36" s="196">
        <v>0.45520000000000005</v>
      </c>
      <c r="L36" s="118">
        <f t="shared" si="10"/>
        <v>-0.13918305597579428</v>
      </c>
    </row>
    <row r="37" spans="2:14" x14ac:dyDescent="0.25">
      <c r="B37" s="116" t="s">
        <v>88</v>
      </c>
      <c r="C37" s="196">
        <v>0.52890000000000004</v>
      </c>
      <c r="D37" s="118">
        <v>0.24858356940509929</v>
      </c>
      <c r="E37" s="196">
        <v>0.50939999999999996</v>
      </c>
      <c r="F37" s="118">
        <f t="shared" si="8"/>
        <v>-3.6868973340896338E-2</v>
      </c>
      <c r="G37" s="196">
        <v>0.52629999999999999</v>
      </c>
      <c r="H37" s="118">
        <f t="shared" si="8"/>
        <v>3.3176285826462593E-2</v>
      </c>
      <c r="I37" s="196">
        <v>0.60099999999999998</v>
      </c>
      <c r="J37" s="118">
        <f t="shared" si="9"/>
        <v>0.14193425802774073</v>
      </c>
      <c r="K37" s="196">
        <v>0.52190000000000003</v>
      </c>
      <c r="L37" s="118">
        <f t="shared" si="10"/>
        <v>-0.1316139767054908</v>
      </c>
    </row>
    <row r="38" spans="2:14" x14ac:dyDescent="0.25">
      <c r="B38" s="116" t="s">
        <v>90</v>
      </c>
      <c r="C38" s="196">
        <v>0.51259999999999994</v>
      </c>
      <c r="D38" s="118">
        <v>-1.2711864406779738E-2</v>
      </c>
      <c r="E38" s="196">
        <v>0.52780000000000005</v>
      </c>
      <c r="F38" s="118">
        <f t="shared" si="8"/>
        <v>2.9652750682793716E-2</v>
      </c>
      <c r="G38" s="196">
        <v>0.52239999999999998</v>
      </c>
      <c r="H38" s="118">
        <f t="shared" si="8"/>
        <v>-1.0231148162182735E-2</v>
      </c>
      <c r="I38" s="196">
        <v>0.62690000000000001</v>
      </c>
      <c r="J38" s="118">
        <f t="shared" si="9"/>
        <v>0.20003828483920372</v>
      </c>
      <c r="K38" s="196"/>
      <c r="L38" s="118"/>
    </row>
    <row r="39" spans="2:14" x14ac:dyDescent="0.25">
      <c r="B39" s="116" t="s">
        <v>92</v>
      </c>
      <c r="C39" s="196">
        <v>0.498</v>
      </c>
      <c r="D39" s="118">
        <v>2.5535420098846684E-2</v>
      </c>
      <c r="E39" s="196">
        <v>0.48670000000000002</v>
      </c>
      <c r="F39" s="118">
        <f t="shared" si="8"/>
        <v>-2.269076305220874E-2</v>
      </c>
      <c r="G39" s="196">
        <v>0.57379999999999998</v>
      </c>
      <c r="H39" s="118">
        <f t="shared" si="8"/>
        <v>0.17896034518183668</v>
      </c>
      <c r="I39" s="196">
        <v>0.5696</v>
      </c>
      <c r="J39" s="118">
        <f t="shared" si="9"/>
        <v>-7.319623562216715E-3</v>
      </c>
      <c r="K39" s="196"/>
      <c r="L39" s="118"/>
    </row>
    <row r="40" spans="2:14" x14ac:dyDescent="0.25">
      <c r="B40" s="116" t="s">
        <v>94</v>
      </c>
      <c r="C40" s="196">
        <v>0.54949999999999999</v>
      </c>
      <c r="D40" s="118">
        <v>-1.0622974432841215E-2</v>
      </c>
      <c r="E40" s="196">
        <v>0.57689999999999997</v>
      </c>
      <c r="F40" s="118">
        <f t="shared" si="8"/>
        <v>4.9863512283894407E-2</v>
      </c>
      <c r="G40" s="196">
        <v>0.52039999999999997</v>
      </c>
      <c r="H40" s="118">
        <f t="shared" si="8"/>
        <v>-9.793725082336624E-2</v>
      </c>
      <c r="I40" s="196">
        <v>0.6694</v>
      </c>
      <c r="J40" s="118">
        <f t="shared" si="9"/>
        <v>0.28631821675634139</v>
      </c>
      <c r="K40" s="196"/>
      <c r="L40" s="118"/>
    </row>
    <row r="41" spans="2:14" x14ac:dyDescent="0.25">
      <c r="B41" s="116" t="s">
        <v>96</v>
      </c>
      <c r="C41" s="196">
        <v>0.65969999999999995</v>
      </c>
      <c r="D41" s="118">
        <v>3.956779789986431E-3</v>
      </c>
      <c r="E41" s="196">
        <v>0.67669999999999997</v>
      </c>
      <c r="F41" s="118">
        <f t="shared" si="8"/>
        <v>2.576928907078968E-2</v>
      </c>
      <c r="G41" s="196">
        <v>0.66159999999999997</v>
      </c>
      <c r="H41" s="118">
        <f t="shared" si="8"/>
        <v>-2.2314171715679065E-2</v>
      </c>
      <c r="I41" s="196">
        <v>0.70440000000000003</v>
      </c>
      <c r="J41" s="118">
        <f t="shared" si="9"/>
        <v>6.4691656590084801E-2</v>
      </c>
      <c r="K41" s="196"/>
      <c r="L41" s="118"/>
    </row>
    <row r="42" spans="2:14" x14ac:dyDescent="0.25">
      <c r="B42" s="116" t="s">
        <v>98</v>
      </c>
      <c r="C42" s="196">
        <v>0.61580000000000001</v>
      </c>
      <c r="D42" s="118">
        <v>1.8019507356587861E-2</v>
      </c>
      <c r="E42" s="196">
        <v>0.62139999999999995</v>
      </c>
      <c r="F42" s="118">
        <f t="shared" si="8"/>
        <v>9.0938616433906549E-3</v>
      </c>
      <c r="G42" s="196">
        <v>0.66480000000000006</v>
      </c>
      <c r="H42" s="118">
        <f t="shared" si="8"/>
        <v>6.984229159961397E-2</v>
      </c>
      <c r="I42" s="196">
        <v>0.66159999999999997</v>
      </c>
      <c r="J42" s="118">
        <f t="shared" si="9"/>
        <v>-4.8134777376656057E-3</v>
      </c>
      <c r="K42" s="196"/>
      <c r="L42" s="118"/>
    </row>
    <row r="43" spans="2:14" ht="15.75" x14ac:dyDescent="0.25">
      <c r="B43" s="119" t="s">
        <v>32</v>
      </c>
      <c r="C43" s="198">
        <v>0.55540181632567553</v>
      </c>
      <c r="D43" s="121">
        <v>0.28306264201249109</v>
      </c>
      <c r="E43" s="198">
        <v>0.57078552018499329</v>
      </c>
      <c r="F43" s="121">
        <f t="shared" si="8"/>
        <v>2.7698331923165842E-2</v>
      </c>
      <c r="G43" s="198">
        <v>0.58707862058971227</v>
      </c>
      <c r="H43" s="121">
        <f t="shared" si="8"/>
        <v>2.8545048583990651E-2</v>
      </c>
      <c r="I43" s="198">
        <v>0.63035262548776616</v>
      </c>
      <c r="J43" s="121">
        <f t="shared" si="9"/>
        <v>7.3710749089424876E-2</v>
      </c>
      <c r="K43" s="198">
        <v>0.57580690456131334</v>
      </c>
      <c r="L43" s="121">
        <v>-6.9839548185171352E-2</v>
      </c>
    </row>
    <row r="44" spans="2:14" ht="6" customHeight="1" x14ac:dyDescent="0.25"/>
    <row r="45" spans="2:14" x14ac:dyDescent="0.25">
      <c r="B45" s="107" t="s">
        <v>57</v>
      </c>
      <c r="C45" s="107"/>
      <c r="D45" s="107"/>
      <c r="E45" s="107"/>
      <c r="F45" s="107"/>
      <c r="G45" s="107"/>
      <c r="H45" s="107"/>
      <c r="I45" s="107"/>
      <c r="J45" s="107"/>
      <c r="K45" s="107"/>
      <c r="L45" s="107"/>
    </row>
    <row r="46" spans="2:14" x14ac:dyDescent="0.25">
      <c r="C46" s="199"/>
      <c r="I46" s="199"/>
      <c r="J46" s="199"/>
    </row>
    <row r="48" spans="2:14" ht="21.75" customHeight="1" thickBot="1" x14ac:dyDescent="0.3">
      <c r="B48" s="273" t="s">
        <v>313</v>
      </c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N48" s="1" t="s">
        <v>161</v>
      </c>
    </row>
    <row r="49" spans="2:14" ht="10.5" customHeight="1" thickBot="1" x14ac:dyDescent="0.3">
      <c r="B49" s="109"/>
      <c r="C49" s="110"/>
      <c r="D49" s="109"/>
      <c r="E49" s="109"/>
      <c r="F49" s="109"/>
      <c r="G49" s="109"/>
      <c r="H49" s="109"/>
      <c r="I49" s="109"/>
      <c r="J49" s="109"/>
      <c r="K49" s="4"/>
      <c r="L49" s="4"/>
      <c r="N49" s="1" t="s">
        <v>162</v>
      </c>
    </row>
    <row r="50" spans="2:14" ht="22.5" thickTop="1" thickBot="1" x14ac:dyDescent="0.3">
      <c r="B50" s="112"/>
      <c r="C50" s="298" t="s">
        <v>63</v>
      </c>
      <c r="D50" s="299"/>
      <c r="E50" s="299"/>
      <c r="F50" s="299"/>
      <c r="G50" s="299"/>
      <c r="H50" s="299"/>
      <c r="I50" s="299"/>
      <c r="J50" s="299"/>
      <c r="K50" s="299"/>
      <c r="L50" s="299"/>
    </row>
    <row r="51" spans="2:14" ht="22.5" thickTop="1" thickBot="1" x14ac:dyDescent="0.3">
      <c r="B51" s="112"/>
      <c r="C51" s="303">
        <f t="shared" ref="C51" si="11">E51-1</f>
        <v>2022</v>
      </c>
      <c r="D51" s="301"/>
      <c r="E51" s="300">
        <f t="shared" ref="E51" si="12">G51-1</f>
        <v>2023</v>
      </c>
      <c r="F51" s="301"/>
      <c r="G51" s="300">
        <f t="shared" ref="G51" si="13">I51-1</f>
        <v>2024</v>
      </c>
      <c r="H51" s="301"/>
      <c r="I51" s="300">
        <f>K51-1</f>
        <v>2025</v>
      </c>
      <c r="J51" s="301"/>
      <c r="K51" s="300">
        <v>2026</v>
      </c>
      <c r="L51" s="302"/>
    </row>
    <row r="52" spans="2:14" ht="16.5" thickTop="1" thickBot="1" x14ac:dyDescent="0.3">
      <c r="B52" s="87"/>
      <c r="C52" s="113" t="s">
        <v>74</v>
      </c>
      <c r="D52" s="114" t="str">
        <f>CONCATENATE("var ",RIGHT(C51,2),"/",RIGHT(C51-1,2))</f>
        <v>var 22/21</v>
      </c>
      <c r="E52" s="115" t="s">
        <v>74</v>
      </c>
      <c r="F52" s="114" t="str">
        <f>CONCATENATE("var ",RIGHT(E51,2),"/",RIGHT(C51,2))</f>
        <v>var 23/22</v>
      </c>
      <c r="G52" s="115" t="s">
        <v>74</v>
      </c>
      <c r="H52" s="114" t="str">
        <f>CONCATENATE("var ",RIGHT(G51,2),"/",RIGHT(E51,2))</f>
        <v>var 24/23</v>
      </c>
      <c r="I52" s="115" t="s">
        <v>74</v>
      </c>
      <c r="J52" s="114" t="str">
        <f>CONCATENATE("var ",RIGHT(I51,2),"/",RIGHT(G51,2))</f>
        <v>var 25/24</v>
      </c>
      <c r="K52" s="115" t="s">
        <v>74</v>
      </c>
      <c r="L52" s="114" t="str">
        <f>CONCATENATE("var ",RIGHT(K51,2),"/",RIGHT(I51,2))</f>
        <v>var 26/25</v>
      </c>
    </row>
    <row r="53" spans="2:14" x14ac:dyDescent="0.25">
      <c r="B53" s="116" t="s">
        <v>76</v>
      </c>
      <c r="C53" s="196">
        <v>0.49819999999999998</v>
      </c>
      <c r="D53" s="118">
        <v>3.38556338028169</v>
      </c>
      <c r="E53" s="196">
        <v>0.6845</v>
      </c>
      <c r="F53" s="118">
        <f t="shared" ref="F53:H65" si="14">IFERROR(E53/C53-1,"-")</f>
        <v>0.37394620634283426</v>
      </c>
      <c r="G53" s="196">
        <v>0.70319999999999994</v>
      </c>
      <c r="H53" s="118">
        <f t="shared" si="14"/>
        <v>2.7319211102994734E-2</v>
      </c>
      <c r="I53" s="196">
        <v>0.69359999999999999</v>
      </c>
      <c r="J53" s="118">
        <f t="shared" ref="J53:J65" si="15">IFERROR(I53/G53-1,"-")</f>
        <v>-1.3651877133105672E-2</v>
      </c>
      <c r="K53" s="196">
        <v>0.6139</v>
      </c>
      <c r="L53" s="118">
        <f t="shared" ref="L53:L59" si="16">IFERROR(K53/I53-1,"-")</f>
        <v>-0.11490772779700109</v>
      </c>
    </row>
    <row r="54" spans="2:14" x14ac:dyDescent="0.25">
      <c r="B54" s="116" t="s">
        <v>78</v>
      </c>
      <c r="C54" s="196">
        <v>0.58590000000000009</v>
      </c>
      <c r="D54" s="118">
        <v>4.1575704225352128</v>
      </c>
      <c r="E54" s="196">
        <v>0.70169999999999999</v>
      </c>
      <c r="F54" s="118">
        <f t="shared" si="14"/>
        <v>0.19764464925755232</v>
      </c>
      <c r="G54" s="196">
        <v>0.69189999999999996</v>
      </c>
      <c r="H54" s="118">
        <f t="shared" si="14"/>
        <v>-1.3966082371383859E-2</v>
      </c>
      <c r="I54" s="196">
        <v>0.70040000000000002</v>
      </c>
      <c r="J54" s="118">
        <f t="shared" si="15"/>
        <v>1.2285012285012442E-2</v>
      </c>
      <c r="K54" s="196">
        <v>0.67549999999999999</v>
      </c>
      <c r="L54" s="118">
        <f t="shared" si="16"/>
        <v>-3.5551113649343269E-2</v>
      </c>
    </row>
    <row r="55" spans="2:14" x14ac:dyDescent="0.25">
      <c r="B55" s="116" t="s">
        <v>80</v>
      </c>
      <c r="C55" s="196">
        <v>0.59989999999999999</v>
      </c>
      <c r="D55" s="118">
        <v>4.28080985915493</v>
      </c>
      <c r="E55" s="196">
        <v>0.66610000000000003</v>
      </c>
      <c r="F55" s="118">
        <f t="shared" si="14"/>
        <v>0.11035172528754789</v>
      </c>
      <c r="G55" s="196">
        <v>0.6431</v>
      </c>
      <c r="H55" s="118">
        <f t="shared" si="14"/>
        <v>-3.4529349947455379E-2</v>
      </c>
      <c r="I55" s="196">
        <v>0.6744</v>
      </c>
      <c r="J55" s="118">
        <f t="shared" si="15"/>
        <v>4.8670502254703818E-2</v>
      </c>
      <c r="K55" s="196">
        <v>0.61439999999999995</v>
      </c>
      <c r="L55" s="118">
        <f t="shared" si="16"/>
        <v>-8.8967971530249157E-2</v>
      </c>
    </row>
    <row r="56" spans="2:14" x14ac:dyDescent="0.25">
      <c r="B56" s="116" t="s">
        <v>82</v>
      </c>
      <c r="C56" s="196">
        <v>0.58599999999999997</v>
      </c>
      <c r="D56" s="118">
        <v>4.158450704225352</v>
      </c>
      <c r="E56" s="196">
        <v>0.54310000000000003</v>
      </c>
      <c r="F56" s="118">
        <f t="shared" si="14"/>
        <v>-7.3208191126279742E-2</v>
      </c>
      <c r="G56" s="196">
        <v>0.56380000000000008</v>
      </c>
      <c r="H56" s="118">
        <f t="shared" si="14"/>
        <v>3.8114527711287094E-2</v>
      </c>
      <c r="I56" s="196">
        <v>0.59130000000000005</v>
      </c>
      <c r="J56" s="118">
        <f t="shared" si="15"/>
        <v>4.8776161759489067E-2</v>
      </c>
      <c r="K56" s="196">
        <v>0.51929999999999998</v>
      </c>
      <c r="L56" s="118">
        <f t="shared" si="16"/>
        <v>-0.12176560121765612</v>
      </c>
    </row>
    <row r="57" spans="2:14" x14ac:dyDescent="0.25">
      <c r="B57" s="116" t="s">
        <v>84</v>
      </c>
      <c r="C57" s="196">
        <v>0.51639999999999997</v>
      </c>
      <c r="D57" s="118">
        <v>3.545774647887324</v>
      </c>
      <c r="E57" s="196">
        <v>0.47859999999999997</v>
      </c>
      <c r="F57" s="118">
        <f t="shared" si="14"/>
        <v>-7.3199070487993789E-2</v>
      </c>
      <c r="G57" s="196">
        <v>0.43509999999999999</v>
      </c>
      <c r="H57" s="118">
        <f t="shared" si="14"/>
        <v>-9.0890096113664831E-2</v>
      </c>
      <c r="I57" s="196">
        <v>0.55490000000000006</v>
      </c>
      <c r="J57" s="118">
        <f t="shared" si="15"/>
        <v>0.27533900252815457</v>
      </c>
      <c r="K57" s="196">
        <v>0.51350000000000007</v>
      </c>
      <c r="L57" s="118">
        <f t="shared" si="16"/>
        <v>-7.4608037484231393E-2</v>
      </c>
    </row>
    <row r="58" spans="2:14" x14ac:dyDescent="0.25">
      <c r="B58" s="116" t="s">
        <v>86</v>
      </c>
      <c r="C58" s="196">
        <v>0.48649999999999999</v>
      </c>
      <c r="D58" s="118">
        <v>3.282570422535211</v>
      </c>
      <c r="E58" s="196">
        <v>0.44630000000000003</v>
      </c>
      <c r="F58" s="118">
        <f t="shared" si="14"/>
        <v>-8.2631038026721448E-2</v>
      </c>
      <c r="G58" s="196">
        <v>0.48159999999999997</v>
      </c>
      <c r="H58" s="118">
        <f t="shared" si="14"/>
        <v>7.9094779296437157E-2</v>
      </c>
      <c r="I58" s="196">
        <v>0.53539999999999999</v>
      </c>
      <c r="J58" s="118">
        <f t="shared" si="15"/>
        <v>0.11171096345514964</v>
      </c>
      <c r="K58" s="196">
        <v>0.44600000000000001</v>
      </c>
      <c r="L58" s="118">
        <f t="shared" si="16"/>
        <v>-0.1669779604034366</v>
      </c>
    </row>
    <row r="59" spans="2:14" x14ac:dyDescent="0.25">
      <c r="B59" s="116" t="s">
        <v>88</v>
      </c>
      <c r="C59" s="196">
        <v>0.53449999999999998</v>
      </c>
      <c r="D59" s="118">
        <v>3.705105633802817</v>
      </c>
      <c r="E59" s="196">
        <v>0.50350000000000006</v>
      </c>
      <c r="F59" s="118">
        <f t="shared" si="14"/>
        <v>-5.7998129092609707E-2</v>
      </c>
      <c r="G59" s="196">
        <v>0.55110000000000003</v>
      </c>
      <c r="H59" s="118">
        <f t="shared" si="14"/>
        <v>9.4538232373386322E-2</v>
      </c>
      <c r="I59" s="196">
        <v>0.6411</v>
      </c>
      <c r="J59" s="118">
        <f t="shared" si="15"/>
        <v>0.16330974414806754</v>
      </c>
      <c r="K59" s="196">
        <v>0.53759999999999997</v>
      </c>
      <c r="L59" s="118">
        <f t="shared" si="16"/>
        <v>-0.16144127281235388</v>
      </c>
    </row>
    <row r="60" spans="2:14" x14ac:dyDescent="0.25">
      <c r="B60" s="116" t="s">
        <v>90</v>
      </c>
      <c r="C60" s="196">
        <v>0.55869999999999997</v>
      </c>
      <c r="D60" s="118">
        <v>3.9181338028169019</v>
      </c>
      <c r="E60" s="196">
        <v>0.56430000000000002</v>
      </c>
      <c r="F60" s="118">
        <f t="shared" si="14"/>
        <v>1.002326830141409E-2</v>
      </c>
      <c r="G60" s="196">
        <v>0.62619999999999998</v>
      </c>
      <c r="H60" s="118">
        <f t="shared" si="14"/>
        <v>0.10969342548289918</v>
      </c>
      <c r="I60" s="196">
        <v>0.70140000000000002</v>
      </c>
      <c r="J60" s="118">
        <f t="shared" si="15"/>
        <v>0.12008942829766855</v>
      </c>
      <c r="K60" s="196"/>
      <c r="L60" s="118"/>
    </row>
    <row r="61" spans="2:14" x14ac:dyDescent="0.25">
      <c r="B61" s="116" t="s">
        <v>92</v>
      </c>
      <c r="C61" s="196">
        <v>0.48299999999999998</v>
      </c>
      <c r="D61" s="118">
        <v>3.251760563380282</v>
      </c>
      <c r="E61" s="196">
        <v>0.52639999999999998</v>
      </c>
      <c r="F61" s="118">
        <f t="shared" si="14"/>
        <v>8.9855072463768115E-2</v>
      </c>
      <c r="G61" s="196">
        <v>0.57579999999999998</v>
      </c>
      <c r="H61" s="118">
        <f t="shared" si="14"/>
        <v>9.3844984802431641E-2</v>
      </c>
      <c r="I61" s="196">
        <v>0.6149</v>
      </c>
      <c r="J61" s="118">
        <f t="shared" si="15"/>
        <v>6.7905522750955294E-2</v>
      </c>
      <c r="K61" s="196"/>
      <c r="L61" s="118"/>
    </row>
    <row r="62" spans="2:14" x14ac:dyDescent="0.25">
      <c r="B62" s="116" t="s">
        <v>94</v>
      </c>
      <c r="C62" s="196">
        <v>0.52469999999999994</v>
      </c>
      <c r="D62" s="118">
        <v>3.618838028169014</v>
      </c>
      <c r="E62" s="196">
        <v>0.59870000000000001</v>
      </c>
      <c r="F62" s="118">
        <f t="shared" si="14"/>
        <v>0.1410329712216507</v>
      </c>
      <c r="G62" s="196">
        <v>0.52369999999999994</v>
      </c>
      <c r="H62" s="118">
        <f t="shared" si="14"/>
        <v>-0.12527142141306169</v>
      </c>
      <c r="I62" s="196">
        <v>0.67709999999999992</v>
      </c>
      <c r="J62" s="118">
        <f t="shared" si="15"/>
        <v>0.29291579148367375</v>
      </c>
      <c r="K62" s="196"/>
      <c r="L62" s="118"/>
    </row>
    <row r="63" spans="2:14" x14ac:dyDescent="0.25">
      <c r="B63" s="116" t="s">
        <v>96</v>
      </c>
      <c r="C63" s="196">
        <v>0.66370000000000007</v>
      </c>
      <c r="D63" s="118">
        <v>4.8424295774647899</v>
      </c>
      <c r="E63" s="196">
        <v>0.69230000000000003</v>
      </c>
      <c r="F63" s="118">
        <f t="shared" si="14"/>
        <v>4.309175832454426E-2</v>
      </c>
      <c r="G63" s="196">
        <v>0.66239999999999999</v>
      </c>
      <c r="H63" s="118">
        <f t="shared" si="14"/>
        <v>-4.318936877076418E-2</v>
      </c>
      <c r="I63" s="196">
        <v>0.70290000000000008</v>
      </c>
      <c r="J63" s="118">
        <f t="shared" si="15"/>
        <v>6.1141304347826164E-2</v>
      </c>
      <c r="K63" s="196"/>
      <c r="L63" s="118"/>
    </row>
    <row r="64" spans="2:14" x14ac:dyDescent="0.25">
      <c r="B64" s="116" t="s">
        <v>98</v>
      </c>
      <c r="C64" s="196">
        <v>0.59799999999999998</v>
      </c>
      <c r="D64" s="118">
        <v>4.2640845070422539</v>
      </c>
      <c r="E64" s="196">
        <v>0.62219999999999998</v>
      </c>
      <c r="F64" s="118">
        <f t="shared" si="14"/>
        <v>4.0468227424749204E-2</v>
      </c>
      <c r="G64" s="196">
        <v>0.65159999999999996</v>
      </c>
      <c r="H64" s="118">
        <f t="shared" si="14"/>
        <v>4.7251687560269984E-2</v>
      </c>
      <c r="I64" s="196">
        <v>0.64480000000000004</v>
      </c>
      <c r="J64" s="118">
        <f t="shared" si="15"/>
        <v>-1.0435850214855602E-2</v>
      </c>
      <c r="K64" s="196"/>
      <c r="L64" s="118"/>
    </row>
    <row r="65" spans="2:14" ht="15.75" x14ac:dyDescent="0.25">
      <c r="B65" s="119" t="s">
        <v>32</v>
      </c>
      <c r="C65" s="198">
        <v>0.55261090702655957</v>
      </c>
      <c r="D65" s="121">
        <v>0.2766152171865679</v>
      </c>
      <c r="E65" s="198">
        <v>0.58503788808693802</v>
      </c>
      <c r="F65" s="121">
        <f t="shared" si="14"/>
        <v>5.8679589287983225E-2</v>
      </c>
      <c r="G65" s="198">
        <v>0.59242432466085382</v>
      </c>
      <c r="H65" s="121">
        <f t="shared" si="14"/>
        <v>1.2625569598696096E-2</v>
      </c>
      <c r="I65" s="198">
        <v>0.64389915575102641</v>
      </c>
      <c r="J65" s="121">
        <f t="shared" si="15"/>
        <v>8.6888449625427633E-2</v>
      </c>
      <c r="K65" s="198">
        <v>0.55912603274480621</v>
      </c>
      <c r="L65" s="121">
        <v>-0.10807891256243385</v>
      </c>
    </row>
    <row r="66" spans="2:14" ht="6" customHeight="1" x14ac:dyDescent="0.25"/>
    <row r="67" spans="2:14" x14ac:dyDescent="0.25">
      <c r="B67" s="107" t="s">
        <v>57</v>
      </c>
      <c r="C67" s="107"/>
      <c r="D67" s="107"/>
      <c r="E67" s="107"/>
      <c r="F67" s="107"/>
      <c r="G67" s="107"/>
      <c r="H67" s="107"/>
      <c r="I67" s="107"/>
      <c r="J67" s="107"/>
      <c r="K67" s="107"/>
      <c r="L67" s="107"/>
    </row>
    <row r="68" spans="2:14" x14ac:dyDescent="0.25">
      <c r="C68" s="199"/>
      <c r="I68" s="199"/>
      <c r="J68" s="199"/>
    </row>
    <row r="70" spans="2:14" ht="21.75" customHeight="1" thickBot="1" x14ac:dyDescent="0.3">
      <c r="B70" s="273" t="s">
        <v>314</v>
      </c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N70" s="1" t="s">
        <v>163</v>
      </c>
    </row>
    <row r="71" spans="2:14" ht="10.5" customHeight="1" thickBot="1" x14ac:dyDescent="0.3">
      <c r="B71" s="109"/>
      <c r="C71" s="110"/>
      <c r="D71" s="109"/>
      <c r="E71" s="109"/>
      <c r="F71" s="109"/>
      <c r="G71" s="109"/>
      <c r="H71" s="109"/>
      <c r="I71" s="109"/>
      <c r="J71" s="109"/>
      <c r="K71" s="4"/>
      <c r="L71" s="4"/>
      <c r="N71" s="1" t="s">
        <v>164</v>
      </c>
    </row>
    <row r="72" spans="2:14" ht="22.5" thickTop="1" thickBot="1" x14ac:dyDescent="0.3">
      <c r="B72" s="112"/>
      <c r="C72" s="298" t="s">
        <v>70</v>
      </c>
      <c r="D72" s="299"/>
      <c r="E72" s="299"/>
      <c r="F72" s="299"/>
      <c r="G72" s="299"/>
      <c r="H72" s="299"/>
      <c r="I72" s="299"/>
      <c r="J72" s="299"/>
      <c r="K72" s="299"/>
      <c r="L72" s="299"/>
    </row>
    <row r="73" spans="2:14" ht="22.5" thickTop="1" thickBot="1" x14ac:dyDescent="0.3">
      <c r="B73" s="112"/>
      <c r="C73" s="303">
        <f t="shared" ref="C73" si="17">E73-1</f>
        <v>2022</v>
      </c>
      <c r="D73" s="301"/>
      <c r="E73" s="300">
        <f t="shared" ref="E73" si="18">G73-1</f>
        <v>2023</v>
      </c>
      <c r="F73" s="301"/>
      <c r="G73" s="300">
        <f t="shared" ref="G73" si="19">I73-1</f>
        <v>2024</v>
      </c>
      <c r="H73" s="301"/>
      <c r="I73" s="300">
        <f>K73-1</f>
        <v>2025</v>
      </c>
      <c r="J73" s="301"/>
      <c r="K73" s="300">
        <v>2026</v>
      </c>
      <c r="L73" s="302"/>
    </row>
    <row r="74" spans="2:14" ht="16.5" thickTop="1" thickBot="1" x14ac:dyDescent="0.3">
      <c r="B74" s="87"/>
      <c r="C74" s="113" t="s">
        <v>74</v>
      </c>
      <c r="D74" s="114" t="str">
        <f>CONCATENATE("var ",RIGHT(C73,2),"/",RIGHT(C73-1,2))</f>
        <v>var 22/21</v>
      </c>
      <c r="E74" s="115" t="s">
        <v>74</v>
      </c>
      <c r="F74" s="114" t="str">
        <f>CONCATENATE("var ",RIGHT(E73,2),"/",RIGHT(C73,2))</f>
        <v>var 23/22</v>
      </c>
      <c r="G74" s="115" t="s">
        <v>74</v>
      </c>
      <c r="H74" s="114" t="str">
        <f>CONCATENATE("var ",RIGHT(G73,2),"/",RIGHT(E73,2))</f>
        <v>var 24/23</v>
      </c>
      <c r="I74" s="115" t="s">
        <v>74</v>
      </c>
      <c r="J74" s="114" t="str">
        <f>CONCATENATE("var ",RIGHT(I73,2),"/",RIGHT(G73,2))</f>
        <v>var 25/24</v>
      </c>
      <c r="K74" s="115" t="s">
        <v>74</v>
      </c>
      <c r="L74" s="114" t="str">
        <f>CONCATENATE("var ",RIGHT(K73,2),"/",RIGHT(I73,2))</f>
        <v>var 26/25</v>
      </c>
    </row>
    <row r="75" spans="2:14" x14ac:dyDescent="0.25">
      <c r="B75" s="116" t="s">
        <v>76</v>
      </c>
      <c r="C75" s="196">
        <v>0.55909999999999993</v>
      </c>
      <c r="D75" s="118">
        <v>1.1636996904024763</v>
      </c>
      <c r="E75" s="196">
        <v>0.67010000000000003</v>
      </c>
      <c r="F75" s="118">
        <f t="shared" ref="F75:F87" si="20">IFERROR(E75/C75-1,"-")</f>
        <v>0.19853335718118426</v>
      </c>
      <c r="G75" s="196">
        <v>0.74129999999999996</v>
      </c>
      <c r="H75" s="118">
        <f t="shared" ref="H75:H87" si="21">IFERROR(G75/E75-1,"-")</f>
        <v>0.10625279808983712</v>
      </c>
      <c r="I75" s="196">
        <v>0.67310000000000003</v>
      </c>
      <c r="J75" s="118">
        <f t="shared" ref="J75:J87" si="22">IFERROR(I75/G75-1,"-")</f>
        <v>-9.2000539592607455E-2</v>
      </c>
      <c r="K75" s="196">
        <v>0.81530000000000002</v>
      </c>
      <c r="L75" s="118">
        <f t="shared" ref="L75:L81" si="23">IFERROR(K75/I75-1,"-")</f>
        <v>0.21126132818303378</v>
      </c>
    </row>
    <row r="76" spans="2:14" x14ac:dyDescent="0.25">
      <c r="B76" s="116" t="s">
        <v>78</v>
      </c>
      <c r="C76" s="196">
        <v>0.62950000000000006</v>
      </c>
      <c r="D76" s="118">
        <v>1.4361455108359134</v>
      </c>
      <c r="E76" s="196">
        <v>0.59540000000000004</v>
      </c>
      <c r="F76" s="118">
        <f t="shared" si="20"/>
        <v>-5.4169976171564715E-2</v>
      </c>
      <c r="G76" s="196">
        <v>0.70180000000000009</v>
      </c>
      <c r="H76" s="118">
        <f t="shared" si="21"/>
        <v>0.17870339267719193</v>
      </c>
      <c r="I76" s="196">
        <v>0.70459999999999989</v>
      </c>
      <c r="J76" s="118">
        <f t="shared" si="22"/>
        <v>3.9897406668563118E-3</v>
      </c>
      <c r="K76" s="196">
        <v>0.7389</v>
      </c>
      <c r="L76" s="118">
        <f t="shared" si="23"/>
        <v>4.8680102185637342E-2</v>
      </c>
    </row>
    <row r="77" spans="2:14" x14ac:dyDescent="0.25">
      <c r="B77" s="116" t="s">
        <v>80</v>
      </c>
      <c r="C77" s="196">
        <v>0.59439999999999993</v>
      </c>
      <c r="D77" s="118">
        <v>1.3003095975232193</v>
      </c>
      <c r="E77" s="196">
        <v>0.64980000000000004</v>
      </c>
      <c r="F77" s="118">
        <f t="shared" si="20"/>
        <v>9.3203230148048766E-2</v>
      </c>
      <c r="G77" s="196">
        <v>0.74239999999999995</v>
      </c>
      <c r="H77" s="118">
        <f t="shared" si="21"/>
        <v>0.14250538627269904</v>
      </c>
      <c r="I77" s="196">
        <v>0.70319999999999994</v>
      </c>
      <c r="J77" s="118">
        <f t="shared" si="22"/>
        <v>-5.280172413793105E-2</v>
      </c>
      <c r="K77" s="196">
        <v>0.71329999999999993</v>
      </c>
      <c r="L77" s="118">
        <f t="shared" si="23"/>
        <v>1.4362912400454952E-2</v>
      </c>
    </row>
    <row r="78" spans="2:14" x14ac:dyDescent="0.25">
      <c r="B78" s="116" t="s">
        <v>82</v>
      </c>
      <c r="C78" s="196">
        <v>0.48899999999999999</v>
      </c>
      <c r="D78" s="118">
        <v>0.89241486068111442</v>
      </c>
      <c r="E78" s="196">
        <v>0.43590000000000001</v>
      </c>
      <c r="F78" s="118">
        <f t="shared" si="20"/>
        <v>-0.10858895705521465</v>
      </c>
      <c r="G78" s="196">
        <v>0.5403</v>
      </c>
      <c r="H78" s="118">
        <f t="shared" si="21"/>
        <v>0.23950447350309712</v>
      </c>
      <c r="I78" s="196">
        <v>0.57540000000000002</v>
      </c>
      <c r="J78" s="118">
        <f t="shared" si="22"/>
        <v>6.496390893947801E-2</v>
      </c>
      <c r="K78" s="196">
        <v>0.61329999999999996</v>
      </c>
      <c r="L78" s="118">
        <f t="shared" si="23"/>
        <v>6.5867222801529346E-2</v>
      </c>
    </row>
    <row r="79" spans="2:14" x14ac:dyDescent="0.25">
      <c r="B79" s="116" t="s">
        <v>84</v>
      </c>
      <c r="C79" s="196">
        <v>0.56640000000000001</v>
      </c>
      <c r="D79" s="118">
        <v>1.1919504643962848</v>
      </c>
      <c r="E79" s="196">
        <v>0.48549999999999999</v>
      </c>
      <c r="F79" s="118">
        <f t="shared" si="20"/>
        <v>-0.1428319209039548</v>
      </c>
      <c r="G79" s="196">
        <v>0.46200000000000002</v>
      </c>
      <c r="H79" s="118">
        <f t="shared" si="21"/>
        <v>-4.8403707518022587E-2</v>
      </c>
      <c r="I79" s="196">
        <v>0.53539999999999999</v>
      </c>
      <c r="J79" s="118">
        <f t="shared" si="22"/>
        <v>0.15887445887445883</v>
      </c>
      <c r="K79" s="196">
        <v>0.47340000000000004</v>
      </c>
      <c r="L79" s="118">
        <f t="shared" si="23"/>
        <v>-0.11580127007844587</v>
      </c>
    </row>
    <row r="80" spans="2:14" x14ac:dyDescent="0.25">
      <c r="B80" s="116" t="s">
        <v>86</v>
      </c>
      <c r="C80" s="196">
        <v>0.51600000000000001</v>
      </c>
      <c r="D80" s="118">
        <v>0.99690402476780182</v>
      </c>
      <c r="E80" s="196">
        <v>0.50790000000000002</v>
      </c>
      <c r="F80" s="118">
        <f t="shared" si="20"/>
        <v>-1.569767441860459E-2</v>
      </c>
      <c r="G80" s="196">
        <v>0.48180000000000001</v>
      </c>
      <c r="H80" s="118">
        <f t="shared" si="21"/>
        <v>-5.1388068517424723E-2</v>
      </c>
      <c r="I80" s="196">
        <v>0.5141</v>
      </c>
      <c r="J80" s="118">
        <f t="shared" si="22"/>
        <v>6.7040265670402555E-2</v>
      </c>
      <c r="K80" s="196">
        <v>0.47909999999999997</v>
      </c>
      <c r="L80" s="118">
        <f t="shared" si="23"/>
        <v>-6.8080140050573834E-2</v>
      </c>
    </row>
    <row r="81" spans="2:12" x14ac:dyDescent="0.25">
      <c r="B81" s="116" t="s">
        <v>88</v>
      </c>
      <c r="C81" s="196">
        <v>0.51919999999999999</v>
      </c>
      <c r="D81" s="118">
        <v>1.0092879256965941</v>
      </c>
      <c r="E81" s="196">
        <v>0.51950000000000007</v>
      </c>
      <c r="F81" s="118">
        <f t="shared" si="20"/>
        <v>5.778120184900537E-4</v>
      </c>
      <c r="G81" s="196">
        <v>0.48810000000000003</v>
      </c>
      <c r="H81" s="118">
        <f t="shared" si="21"/>
        <v>-6.0442733397497617E-2</v>
      </c>
      <c r="I81" s="196">
        <v>0.51149999999999995</v>
      </c>
      <c r="J81" s="118">
        <f t="shared" si="22"/>
        <v>4.7940995697602684E-2</v>
      </c>
      <c r="K81" s="196">
        <v>0.48080000000000001</v>
      </c>
      <c r="L81" s="118">
        <f t="shared" si="23"/>
        <v>-6.0019550342130912E-2</v>
      </c>
    </row>
    <row r="82" spans="2:12" x14ac:dyDescent="0.25">
      <c r="B82" s="116" t="s">
        <v>90</v>
      </c>
      <c r="C82" s="196">
        <v>0.44679999999999997</v>
      </c>
      <c r="D82" s="118">
        <v>0.7291021671826623</v>
      </c>
      <c r="E82" s="196">
        <v>0.46520000000000006</v>
      </c>
      <c r="F82" s="118">
        <f t="shared" si="20"/>
        <v>4.1181736794986712E-2</v>
      </c>
      <c r="G82" s="196">
        <v>0.37380000000000002</v>
      </c>
      <c r="H82" s="118">
        <f t="shared" si="21"/>
        <v>-0.19647463456577818</v>
      </c>
      <c r="I82" s="196">
        <v>0.47049999999999997</v>
      </c>
      <c r="J82" s="118">
        <f t="shared" si="22"/>
        <v>0.25869448903156744</v>
      </c>
      <c r="K82" s="196"/>
      <c r="L82" s="118"/>
    </row>
    <row r="83" spans="2:12" x14ac:dyDescent="0.25">
      <c r="B83" s="116" t="s">
        <v>92</v>
      </c>
      <c r="C83" s="196">
        <v>0.51990000000000003</v>
      </c>
      <c r="D83" s="118">
        <v>1.0119969040247678</v>
      </c>
      <c r="E83" s="196">
        <v>0.4249</v>
      </c>
      <c r="F83" s="118">
        <f t="shared" si="20"/>
        <v>-0.18272744758607429</v>
      </c>
      <c r="G83" s="196">
        <v>0.56969999999999998</v>
      </c>
      <c r="H83" s="118">
        <f t="shared" si="21"/>
        <v>0.3407860673099552</v>
      </c>
      <c r="I83" s="196">
        <v>0.48100000000000004</v>
      </c>
      <c r="J83" s="118">
        <f t="shared" si="22"/>
        <v>-0.15569598034053</v>
      </c>
      <c r="K83" s="196"/>
      <c r="L83" s="118"/>
    </row>
    <row r="84" spans="2:12" x14ac:dyDescent="0.25">
      <c r="B84" s="116" t="s">
        <v>94</v>
      </c>
      <c r="C84" s="196">
        <v>0.58550000000000002</v>
      </c>
      <c r="D84" s="118">
        <v>1.2658668730650153</v>
      </c>
      <c r="E84" s="196">
        <v>0.54320000000000002</v>
      </c>
      <c r="F84" s="118">
        <f t="shared" si="20"/>
        <v>-7.2245943637916366E-2</v>
      </c>
      <c r="G84" s="196">
        <v>0.51300000000000001</v>
      </c>
      <c r="H84" s="118">
        <f t="shared" si="21"/>
        <v>-5.5596465390279848E-2</v>
      </c>
      <c r="I84" s="196">
        <v>0.65229999999999999</v>
      </c>
      <c r="J84" s="118">
        <f t="shared" si="22"/>
        <v>0.27153996101364508</v>
      </c>
      <c r="K84" s="196"/>
      <c r="L84" s="118"/>
    </row>
    <row r="85" spans="2:12" x14ac:dyDescent="0.25">
      <c r="B85" s="116" t="s">
        <v>96</v>
      </c>
      <c r="C85" s="196">
        <v>0.65379999999999994</v>
      </c>
      <c r="D85" s="118">
        <v>1.5301857585139316</v>
      </c>
      <c r="E85" s="196">
        <v>0.65260000000000007</v>
      </c>
      <c r="F85" s="118">
        <f t="shared" si="20"/>
        <v>-1.8354236769652088E-3</v>
      </c>
      <c r="G85" s="196">
        <v>0.65959999999999996</v>
      </c>
      <c r="H85" s="118">
        <f t="shared" si="21"/>
        <v>1.0726325467361075E-2</v>
      </c>
      <c r="I85" s="196">
        <v>0.70779999999999998</v>
      </c>
      <c r="J85" s="118">
        <f t="shared" si="22"/>
        <v>7.3074590661006633E-2</v>
      </c>
      <c r="K85" s="196"/>
      <c r="L85" s="118"/>
    </row>
    <row r="86" spans="2:12" x14ac:dyDescent="0.25">
      <c r="B86" s="116" t="s">
        <v>98</v>
      </c>
      <c r="C86" s="196">
        <v>0.64139999999999997</v>
      </c>
      <c r="D86" s="118">
        <v>1.4821981424148603</v>
      </c>
      <c r="E86" s="196">
        <v>0.62020000000000008</v>
      </c>
      <c r="F86" s="118">
        <f t="shared" si="20"/>
        <v>-3.3052697224820515E-2</v>
      </c>
      <c r="G86" s="196">
        <v>0.69440000000000002</v>
      </c>
      <c r="H86" s="118">
        <f t="shared" si="21"/>
        <v>0.11963882618510135</v>
      </c>
      <c r="I86" s="196">
        <v>0.69900000000000007</v>
      </c>
      <c r="J86" s="118">
        <f t="shared" si="22"/>
        <v>6.6244239631336743E-3</v>
      </c>
      <c r="K86" s="196"/>
      <c r="L86" s="118"/>
    </row>
    <row r="87" spans="2:12" ht="15.75" x14ac:dyDescent="0.25">
      <c r="B87" s="119" t="s">
        <v>32</v>
      </c>
      <c r="C87" s="198">
        <v>0.55994052778903469</v>
      </c>
      <c r="D87" s="121">
        <v>0.29354775558312296</v>
      </c>
      <c r="E87" s="198">
        <v>0.54908795543053335</v>
      </c>
      <c r="F87" s="121">
        <f t="shared" si="20"/>
        <v>-1.938165183605034E-2</v>
      </c>
      <c r="G87" s="198">
        <v>0.57796021729363234</v>
      </c>
      <c r="H87" s="121">
        <f t="shared" si="21"/>
        <v>5.2582216705993057E-2</v>
      </c>
      <c r="I87" s="198">
        <v>0.60072079836253411</v>
      </c>
      <c r="J87" s="121">
        <f t="shared" si="22"/>
        <v>3.9380878454716051E-2</v>
      </c>
      <c r="K87" s="198">
        <v>0.61706020112963222</v>
      </c>
      <c r="L87" s="121">
        <v>2.5650264997302719E-2</v>
      </c>
    </row>
    <row r="88" spans="2:12" ht="6" customHeight="1" x14ac:dyDescent="0.25"/>
    <row r="89" spans="2:12" x14ac:dyDescent="0.25">
      <c r="B89" s="107" t="s">
        <v>57</v>
      </c>
      <c r="C89" s="107"/>
      <c r="D89" s="107"/>
      <c r="E89" s="107"/>
      <c r="F89" s="107"/>
      <c r="G89" s="107"/>
      <c r="H89" s="107"/>
      <c r="I89" s="107"/>
      <c r="J89" s="107"/>
      <c r="K89" s="107"/>
      <c r="L89" s="107"/>
    </row>
  </sheetData>
  <mergeCells count="29">
    <mergeCell ref="B70:L70"/>
    <mergeCell ref="C72:L72"/>
    <mergeCell ref="C73:D73"/>
    <mergeCell ref="E73:F73"/>
    <mergeCell ref="G73:H73"/>
    <mergeCell ref="I73:J73"/>
    <mergeCell ref="K73:L73"/>
    <mergeCell ref="B48:L48"/>
    <mergeCell ref="C50:L50"/>
    <mergeCell ref="C51:D51"/>
    <mergeCell ref="E51:F51"/>
    <mergeCell ref="G51:H51"/>
    <mergeCell ref="I51:J51"/>
    <mergeCell ref="K51:L51"/>
    <mergeCell ref="M21:M24"/>
    <mergeCell ref="B26:L26"/>
    <mergeCell ref="C28:L28"/>
    <mergeCell ref="C29:D29"/>
    <mergeCell ref="E29:F29"/>
    <mergeCell ref="G29:H29"/>
    <mergeCell ref="I29:J29"/>
    <mergeCell ref="K29:L29"/>
    <mergeCell ref="B4:L4"/>
    <mergeCell ref="C6:L6"/>
    <mergeCell ref="C7:D7"/>
    <mergeCell ref="E7:F7"/>
    <mergeCell ref="G7:H7"/>
    <mergeCell ref="I7:J7"/>
    <mergeCell ref="K7:L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6669F-B393-420F-86DF-AD9C9CA23BFD}">
  <sheetPr>
    <tabColor theme="2" tint="-0.499984740745262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165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2229D-F7C1-407F-878D-AC86B7A1778E}">
  <sheetPr>
    <tabColor theme="2" tint="-9.9978637043366805E-2"/>
  </sheetPr>
  <dimension ref="B1:AT44"/>
  <sheetViews>
    <sheetView showGridLines="0" workbookViewId="0"/>
  </sheetViews>
  <sheetFormatPr baseColWidth="10" defaultRowHeight="15" x14ac:dyDescent="0.25"/>
  <cols>
    <col min="1" max="1" width="15.5703125" customWidth="1"/>
    <col min="2" max="2" width="24" customWidth="1"/>
    <col min="3" max="3" width="13.42578125" customWidth="1"/>
    <col min="4" max="4" width="16" customWidth="1"/>
    <col min="5" max="5" width="18.42578125" customWidth="1"/>
    <col min="6" max="6" width="15.42578125" customWidth="1"/>
    <col min="7" max="7" width="16.42578125" customWidth="1"/>
    <col min="8" max="8" width="16" customWidth="1"/>
    <col min="9" max="9" width="11" customWidth="1"/>
    <col min="10" max="10" width="13.85546875" customWidth="1"/>
    <col min="11" max="11" width="11" customWidth="1"/>
    <col min="12" max="14" width="11.42578125" customWidth="1"/>
    <col min="16" max="16" width="25" customWidth="1"/>
    <col min="17" max="17" width="11.28515625" customWidth="1"/>
    <col min="18" max="18" width="14.85546875" customWidth="1"/>
    <col min="19" max="19" width="14.42578125" customWidth="1"/>
    <col min="20" max="21" width="14.28515625" customWidth="1"/>
    <col min="22" max="22" width="14.42578125" customWidth="1"/>
    <col min="23" max="23" width="15" customWidth="1"/>
    <col min="24" max="24" width="11.42578125" customWidth="1"/>
    <col min="25" max="25" width="14.85546875" customWidth="1"/>
    <col min="26" max="26" width="11.42578125" customWidth="1"/>
    <col min="27" max="27" width="12.42578125" customWidth="1"/>
    <col min="28" max="28" width="10.85546875" customWidth="1"/>
    <col min="29" max="29" width="9.85546875" customWidth="1"/>
    <col min="30" max="30" width="14.5703125" customWidth="1"/>
    <col min="31" max="31" width="28.42578125" customWidth="1"/>
    <col min="32" max="36" width="17.7109375" customWidth="1"/>
    <col min="37" max="37" width="11.28515625" bestFit="1" customWidth="1"/>
    <col min="38" max="38" width="14.140625" customWidth="1"/>
    <col min="39" max="39" width="14.140625" bestFit="1" customWidth="1"/>
    <col min="40" max="43" width="14.42578125" customWidth="1"/>
    <col min="44" max="44" width="9.5703125" bestFit="1" customWidth="1"/>
    <col min="45" max="45" width="11.28515625" bestFit="1" customWidth="1"/>
    <col min="46" max="46" width="11.85546875" customWidth="1"/>
    <col min="47" max="47" width="9" customWidth="1"/>
  </cols>
  <sheetData>
    <row r="1" spans="2:46" ht="42.75" customHeight="1" x14ac:dyDescent="0.25"/>
    <row r="3" spans="2:46" x14ac:dyDescent="0.25">
      <c r="N3" s="200"/>
    </row>
    <row r="5" spans="2:46" ht="50.25" customHeight="1" thickBot="1" x14ac:dyDescent="0.3">
      <c r="B5" s="273" t="s">
        <v>166</v>
      </c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P5" s="273" t="s">
        <v>167</v>
      </c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D5" s="273" t="s">
        <v>168</v>
      </c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73"/>
      <c r="AQ5" s="273"/>
      <c r="AR5" s="273"/>
      <c r="AS5" s="273"/>
      <c r="AT5" s="144"/>
    </row>
    <row r="6" spans="2:46" ht="6" customHeight="1" thickBot="1" x14ac:dyDescent="0.3"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6"/>
      <c r="N6" s="86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6"/>
      <c r="AB6" s="86"/>
      <c r="AD6" s="86"/>
      <c r="AE6" s="86"/>
      <c r="AF6" s="86"/>
      <c r="AG6" s="86"/>
      <c r="AH6" s="86"/>
      <c r="AI6" s="86"/>
      <c r="AJ6" s="86"/>
      <c r="AK6" s="86"/>
      <c r="AL6" s="86"/>
      <c r="AM6" s="86"/>
      <c r="AN6" s="86"/>
      <c r="AO6" s="86"/>
      <c r="AP6" s="86"/>
      <c r="AQ6" s="86"/>
      <c r="AR6" s="86"/>
      <c r="AS6" s="86"/>
      <c r="AT6" s="86"/>
    </row>
    <row r="7" spans="2:46" ht="51.75" customHeight="1" thickBot="1" x14ac:dyDescent="0.3">
      <c r="B7" s="87"/>
      <c r="C7" s="201" t="s">
        <v>271</v>
      </c>
      <c r="D7" s="201" t="s">
        <v>272</v>
      </c>
      <c r="E7" s="201" t="s">
        <v>273</v>
      </c>
      <c r="F7" s="92" t="s">
        <v>274</v>
      </c>
      <c r="G7" s="92" t="s">
        <v>275</v>
      </c>
      <c r="H7" s="14" t="str">
        <f>CONCATENATE("var. ",RIGHT(G7,2),"/",RIGHT(F7,2))</f>
        <v>var. 26/25</v>
      </c>
      <c r="I7" s="201" t="s">
        <v>234</v>
      </c>
      <c r="J7" s="202" t="s">
        <v>235</v>
      </c>
      <c r="K7" s="202" t="s">
        <v>236</v>
      </c>
      <c r="L7" s="13" t="s">
        <v>237</v>
      </c>
      <c r="M7" s="13" t="s">
        <v>238</v>
      </c>
      <c r="N7" s="14" t="str">
        <f>CONCATENATE("var. ",RIGHT(M7,2),"/",RIGHT(L7,2))</f>
        <v>var. 26/25</v>
      </c>
      <c r="P7" s="87"/>
      <c r="Q7" s="201" t="s">
        <v>271</v>
      </c>
      <c r="R7" s="202" t="s">
        <v>272</v>
      </c>
      <c r="S7" s="202" t="s">
        <v>273</v>
      </c>
      <c r="T7" s="92" t="s">
        <v>274</v>
      </c>
      <c r="U7" s="92" t="s">
        <v>275</v>
      </c>
      <c r="V7" s="14" t="str">
        <f>CONCATENATE("var. ",RIGHT(U7,2),"/",RIGHT(T7,2))</f>
        <v>var. 26/25</v>
      </c>
      <c r="W7" s="201" t="s">
        <v>234</v>
      </c>
      <c r="X7" s="201" t="s">
        <v>235</v>
      </c>
      <c r="Y7" s="201" t="s">
        <v>236</v>
      </c>
      <c r="Z7" s="13" t="s">
        <v>237</v>
      </c>
      <c r="AA7" s="13" t="s">
        <v>238</v>
      </c>
      <c r="AB7" s="14" t="str">
        <f>CONCATENATE("var. ",RIGHT(AA7,2),"/",RIGHT(Z7,2))</f>
        <v>var. 26/25</v>
      </c>
      <c r="AD7" s="87"/>
      <c r="AE7" s="201" t="s">
        <v>271</v>
      </c>
      <c r="AF7" s="202" t="s">
        <v>272</v>
      </c>
      <c r="AG7" s="202" t="s">
        <v>273</v>
      </c>
      <c r="AH7" s="92" t="s">
        <v>274</v>
      </c>
      <c r="AI7" s="92" t="s">
        <v>275</v>
      </c>
      <c r="AJ7" s="14" t="str">
        <f>CONCATENATE("var. ",RIGHT(AI7,2),"/",RIGHT(AH7,2))</f>
        <v>var. 26/25</v>
      </c>
      <c r="AK7" s="203" t="str">
        <f>CONCATENATE("dif. ",RIGHT(AI7,2),"/",RIGHT(AH7,2))</f>
        <v>dif. 26/25</v>
      </c>
      <c r="AL7" s="204" t="str">
        <f>CONCATENATE("cuota ",RIGHT(AI7,2))</f>
        <v>cuota 26</v>
      </c>
      <c r="AM7" s="201" t="s">
        <v>234</v>
      </c>
      <c r="AN7" s="202" t="s">
        <v>235</v>
      </c>
      <c r="AO7" s="202" t="s">
        <v>236</v>
      </c>
      <c r="AP7" s="13" t="s">
        <v>237</v>
      </c>
      <c r="AQ7" s="13" t="s">
        <v>238</v>
      </c>
      <c r="AR7" s="14" t="str">
        <f>CONCATENATE("var. ",RIGHT(AQ7,2),"/",RIGHT(AP7,2))</f>
        <v>var. 26/25</v>
      </c>
      <c r="AS7" s="203" t="str">
        <f>CONCATENATE("dif. ",RIGHT(AQ7,2),"/",RIGHT(AP7,2))</f>
        <v>dif. 26/25</v>
      </c>
      <c r="AT7" s="204" t="str">
        <f>CONCATENATE("cuota ",RIGHT(AQ7,2))</f>
        <v>cuota 26</v>
      </c>
    </row>
    <row r="8" spans="2:46" ht="15.75" x14ac:dyDescent="0.25">
      <c r="B8" s="205" t="s">
        <v>45</v>
      </c>
      <c r="C8" s="206">
        <v>103.32696609432544</v>
      </c>
      <c r="D8" s="207">
        <v>109.80793239393903</v>
      </c>
      <c r="E8" s="207">
        <v>121.45992794579379</v>
      </c>
      <c r="F8" s="208">
        <v>129.65800593610908</v>
      </c>
      <c r="G8" s="207">
        <v>139.67991591533604</v>
      </c>
      <c r="H8" s="134">
        <f>G8/F8-1</f>
        <v>7.7294956889630173E-2</v>
      </c>
      <c r="I8" s="206">
        <v>2418.92</v>
      </c>
      <c r="J8" s="209">
        <v>2739.2899999999995</v>
      </c>
      <c r="K8" s="209">
        <v>2876</v>
      </c>
      <c r="L8" s="209">
        <v>3037.9399999999991</v>
      </c>
      <c r="M8" s="209">
        <v>3061.33</v>
      </c>
      <c r="N8" s="134">
        <f t="shared" ref="N8:N18" si="0">M8/L8-1</f>
        <v>7.6992962336321913E-3</v>
      </c>
      <c r="P8" s="205" t="s">
        <v>45</v>
      </c>
      <c r="Q8" s="206">
        <v>75.322478251185728</v>
      </c>
      <c r="R8" s="208">
        <v>88.500045844125324</v>
      </c>
      <c r="S8" s="208">
        <v>100.85556208477387</v>
      </c>
      <c r="T8" s="208">
        <v>106.53308401791496</v>
      </c>
      <c r="U8" s="208">
        <v>110.37315065613691</v>
      </c>
      <c r="V8" s="134">
        <f t="shared" ref="V8:V18" si="1">U8/T8-1</f>
        <v>3.6045766191995288E-2</v>
      </c>
      <c r="W8" s="206">
        <v>1762.1799999999996</v>
      </c>
      <c r="X8" s="209">
        <v>2126.9100000000008</v>
      </c>
      <c r="Y8" s="209">
        <v>2252.25</v>
      </c>
      <c r="Z8" s="209">
        <v>2425.0700000000002</v>
      </c>
      <c r="AA8" s="209">
        <v>2409.2800000000007</v>
      </c>
      <c r="AB8" s="134">
        <f t="shared" ref="AB8:AB18" si="2">AA8/Z8-1</f>
        <v>-6.5111522553985557E-3</v>
      </c>
      <c r="AD8" s="67" t="s">
        <v>45</v>
      </c>
      <c r="AE8" s="210">
        <v>822227787.43999982</v>
      </c>
      <c r="AF8" s="133">
        <v>990629371.75999999</v>
      </c>
      <c r="AG8" s="133">
        <v>1139520693.2</v>
      </c>
      <c r="AH8" s="133">
        <v>1188854222.8300002</v>
      </c>
      <c r="AI8" s="133">
        <v>1275597670.6400001</v>
      </c>
      <c r="AJ8" s="134">
        <f t="shared" ref="AJ8:AJ18" si="3">AI8/AH8-1</f>
        <v>7.2963906040146798E-2</v>
      </c>
      <c r="AK8" s="133">
        <f t="shared" ref="AK8:AK18" si="4">AI8-AH8</f>
        <v>86743447.809999943</v>
      </c>
      <c r="AL8" s="135">
        <f t="shared" ref="AL8:AL18" si="5">AI8/AI$8</f>
        <v>1</v>
      </c>
      <c r="AM8" s="211">
        <v>384973113.79999995</v>
      </c>
      <c r="AN8" s="212">
        <v>444978638.30000001</v>
      </c>
      <c r="AO8" s="212">
        <v>490123866.32000011</v>
      </c>
      <c r="AP8" s="212">
        <v>509757762.83999985</v>
      </c>
      <c r="AQ8" s="212">
        <v>527106408.93000007</v>
      </c>
      <c r="AR8" s="134">
        <f t="shared" ref="AR8:AR18" si="6">AQ8/AP8-1</f>
        <v>3.4033117991859818E-2</v>
      </c>
      <c r="AS8" s="133">
        <f t="shared" ref="AS8:AS18" si="7">AQ8-AP8</f>
        <v>17348646.090000212</v>
      </c>
      <c r="AT8" s="135">
        <f t="shared" ref="AT8:AT18" si="8">AQ8/AQ$8</f>
        <v>1</v>
      </c>
    </row>
    <row r="9" spans="2:46" x14ac:dyDescent="0.25">
      <c r="B9" s="15" t="s">
        <v>46</v>
      </c>
      <c r="C9" s="213">
        <v>128.03721098266536</v>
      </c>
      <c r="D9" s="214">
        <v>134.21761562328521</v>
      </c>
      <c r="E9" s="214">
        <v>147.27707272447893</v>
      </c>
      <c r="F9" s="214">
        <v>156.05407320654618</v>
      </c>
      <c r="G9" s="214">
        <v>167.01571476987118</v>
      </c>
      <c r="H9" s="76">
        <f>G9/F9-1</f>
        <v>7.0242585394209245E-2</v>
      </c>
      <c r="I9" s="213">
        <v>127.32</v>
      </c>
      <c r="J9" s="214">
        <v>135.82</v>
      </c>
      <c r="K9" s="214">
        <v>143.27000000000001</v>
      </c>
      <c r="L9" s="214">
        <v>151.38</v>
      </c>
      <c r="M9" s="214">
        <v>156.59</v>
      </c>
      <c r="N9" s="76">
        <f t="shared" si="0"/>
        <v>3.4416699696129038E-2</v>
      </c>
      <c r="P9" s="15" t="s">
        <v>46</v>
      </c>
      <c r="Q9" s="213">
        <v>101.35543609516805</v>
      </c>
      <c r="R9" s="214">
        <v>113.90241535354912</v>
      </c>
      <c r="S9" s="214">
        <v>126.40985057568555</v>
      </c>
      <c r="T9" s="214">
        <v>132.87722602551159</v>
      </c>
      <c r="U9" s="214">
        <v>137.81996985038896</v>
      </c>
      <c r="V9" s="76">
        <f t="shared" si="1"/>
        <v>3.7197825185847799E-2</v>
      </c>
      <c r="W9" s="213">
        <v>106.97</v>
      </c>
      <c r="X9" s="214">
        <v>114.43</v>
      </c>
      <c r="Y9" s="214">
        <v>120.9</v>
      </c>
      <c r="Z9" s="214">
        <v>126.28</v>
      </c>
      <c r="AA9" s="214">
        <v>128.43</v>
      </c>
      <c r="AB9" s="76">
        <f t="shared" si="2"/>
        <v>1.7025657269559735E-2</v>
      </c>
      <c r="AD9" s="15" t="s">
        <v>46</v>
      </c>
      <c r="AE9" s="215">
        <v>403656815.66999996</v>
      </c>
      <c r="AF9" s="53">
        <v>473461039.94999999</v>
      </c>
      <c r="AG9" s="53">
        <v>530840794.31999999</v>
      </c>
      <c r="AH9" s="53">
        <v>530086277</v>
      </c>
      <c r="AI9" s="53">
        <v>579923903.33000004</v>
      </c>
      <c r="AJ9" s="76">
        <f t="shared" si="3"/>
        <v>9.4017952345519795E-2</v>
      </c>
      <c r="AK9" s="53">
        <f t="shared" si="4"/>
        <v>49837626.330000043</v>
      </c>
      <c r="AL9" s="100">
        <f t="shared" si="5"/>
        <v>0.45462916456960706</v>
      </c>
      <c r="AM9" s="216">
        <v>62580353.969999999</v>
      </c>
      <c r="AN9" s="217">
        <v>68456383.570000008</v>
      </c>
      <c r="AO9" s="217">
        <v>74124272.450000003</v>
      </c>
      <c r="AP9" s="217">
        <v>72776855.659999996</v>
      </c>
      <c r="AQ9" s="217">
        <v>78917222.600000009</v>
      </c>
      <c r="AR9" s="76">
        <f t="shared" si="6"/>
        <v>8.4372523164323976E-2</v>
      </c>
      <c r="AS9" s="53">
        <f t="shared" si="7"/>
        <v>6140366.9400000125</v>
      </c>
      <c r="AT9" s="100">
        <f t="shared" si="8"/>
        <v>0.14971782027882768</v>
      </c>
    </row>
    <row r="10" spans="2:46" x14ac:dyDescent="0.25">
      <c r="B10" s="19" t="s">
        <v>47</v>
      </c>
      <c r="C10" s="213">
        <v>90.599691002209667</v>
      </c>
      <c r="D10" s="214">
        <v>97.790528435043626</v>
      </c>
      <c r="E10" s="214">
        <v>111.47730976641749</v>
      </c>
      <c r="F10" s="214">
        <v>122.06364919743287</v>
      </c>
      <c r="G10" s="214">
        <v>129.66527905430661</v>
      </c>
      <c r="H10" s="76">
        <f>G10/F10-1</f>
        <v>6.2275951168545118E-2</v>
      </c>
      <c r="I10" s="213">
        <v>92.75</v>
      </c>
      <c r="J10" s="214">
        <v>99.91</v>
      </c>
      <c r="K10" s="214">
        <v>115.09</v>
      </c>
      <c r="L10" s="214">
        <v>125</v>
      </c>
      <c r="M10" s="214">
        <v>122.14</v>
      </c>
      <c r="N10" s="76">
        <f t="shared" si="0"/>
        <v>-2.2880000000000011E-2</v>
      </c>
      <c r="P10" s="19" t="s">
        <v>47</v>
      </c>
      <c r="Q10" s="213">
        <v>65.501264631652873</v>
      </c>
      <c r="R10" s="214">
        <v>79.192762726977477</v>
      </c>
      <c r="S10" s="214">
        <v>93.518507648846423</v>
      </c>
      <c r="T10" s="214">
        <v>99.664130981943728</v>
      </c>
      <c r="U10" s="214">
        <v>103.31172470677339</v>
      </c>
      <c r="V10" s="76">
        <f t="shared" si="1"/>
        <v>3.6598861484985923E-2</v>
      </c>
      <c r="W10" s="213">
        <v>71.13</v>
      </c>
      <c r="X10" s="214">
        <v>80.19</v>
      </c>
      <c r="Y10" s="214">
        <v>92.86</v>
      </c>
      <c r="Z10" s="214">
        <v>102.71</v>
      </c>
      <c r="AA10" s="214">
        <v>96.07</v>
      </c>
      <c r="AB10" s="76">
        <f t="shared" si="2"/>
        <v>-6.4648038165709298E-2</v>
      </c>
      <c r="AD10" s="19" t="s">
        <v>47</v>
      </c>
      <c r="AE10" s="215">
        <v>200088543.44</v>
      </c>
      <c r="AF10" s="53">
        <v>239808246.41</v>
      </c>
      <c r="AG10" s="53">
        <v>285025855.79999995</v>
      </c>
      <c r="AH10" s="53">
        <v>306127658.97000003</v>
      </c>
      <c r="AI10" s="53">
        <v>318765948.84000003</v>
      </c>
      <c r="AJ10" s="76">
        <f t="shared" si="3"/>
        <v>4.1284377610709466E-2</v>
      </c>
      <c r="AK10" s="53">
        <f t="shared" si="4"/>
        <v>12638289.870000005</v>
      </c>
      <c r="AL10" s="100">
        <f t="shared" si="5"/>
        <v>0.24989536762015799</v>
      </c>
      <c r="AM10" s="216">
        <v>33031284.920000002</v>
      </c>
      <c r="AN10" s="217">
        <v>35163346.869999997</v>
      </c>
      <c r="AO10" s="217">
        <v>42256315.93</v>
      </c>
      <c r="AP10" s="217">
        <v>45678762.100000001</v>
      </c>
      <c r="AQ10" s="217">
        <v>43477789.439999998</v>
      </c>
      <c r="AR10" s="76">
        <f t="shared" si="6"/>
        <v>-4.8183719497074673E-2</v>
      </c>
      <c r="AS10" s="53">
        <f t="shared" si="7"/>
        <v>-2200972.6600000039</v>
      </c>
      <c r="AT10" s="100">
        <f t="shared" si="8"/>
        <v>8.2483894529489329E-2</v>
      </c>
    </row>
    <row r="11" spans="2:46" x14ac:dyDescent="0.25">
      <c r="B11" s="19" t="s">
        <v>48</v>
      </c>
      <c r="C11" s="213">
        <v>70.808030229653042</v>
      </c>
      <c r="D11" s="214">
        <v>77.70480853414179</v>
      </c>
      <c r="E11" s="214">
        <v>80.964698687838649</v>
      </c>
      <c r="F11" s="214">
        <v>100.25532159613186</v>
      </c>
      <c r="G11" s="214">
        <v>96.480533242896911</v>
      </c>
      <c r="H11" s="76">
        <f>G11/F11-1</f>
        <v>-3.7651750482047164E-2</v>
      </c>
      <c r="I11" s="213">
        <v>82.68</v>
      </c>
      <c r="J11" s="214">
        <v>80.44</v>
      </c>
      <c r="K11" s="214">
        <v>94.54</v>
      </c>
      <c r="L11" s="214">
        <v>98.06</v>
      </c>
      <c r="M11" s="214">
        <v>85.02</v>
      </c>
      <c r="N11" s="76">
        <f t="shared" si="0"/>
        <v>-0.1329798082806446</v>
      </c>
      <c r="P11" s="19" t="s">
        <v>48</v>
      </c>
      <c r="Q11" s="213">
        <v>47.643750828203785</v>
      </c>
      <c r="R11" s="214">
        <v>50.523052414693971</v>
      </c>
      <c r="S11" s="214">
        <v>56.140944828639689</v>
      </c>
      <c r="T11" s="214">
        <v>66.3949034722813</v>
      </c>
      <c r="U11" s="214">
        <v>63.659849783756819</v>
      </c>
      <c r="V11" s="76">
        <f t="shared" si="1"/>
        <v>-4.1193729420305858E-2</v>
      </c>
      <c r="W11" s="213">
        <v>44.17</v>
      </c>
      <c r="X11" s="214">
        <v>43.02</v>
      </c>
      <c r="Y11" s="214">
        <v>48.91</v>
      </c>
      <c r="Z11" s="214">
        <v>59.31</v>
      </c>
      <c r="AA11" s="214">
        <v>49.4</v>
      </c>
      <c r="AB11" s="76">
        <f t="shared" si="2"/>
        <v>-0.1670881807452369</v>
      </c>
      <c r="AD11" s="19" t="s">
        <v>48</v>
      </c>
      <c r="AE11" s="215">
        <v>4079383.75</v>
      </c>
      <c r="AF11" s="53">
        <v>4704061.0199999996</v>
      </c>
      <c r="AG11" s="53">
        <v>5230954.16</v>
      </c>
      <c r="AH11" s="53">
        <v>6358392.1600000001</v>
      </c>
      <c r="AI11" s="53">
        <v>6167558.0700000003</v>
      </c>
      <c r="AJ11" s="76">
        <f t="shared" si="3"/>
        <v>-3.001294748702632E-2</v>
      </c>
      <c r="AK11" s="53">
        <f t="shared" si="4"/>
        <v>-190834.08999999985</v>
      </c>
      <c r="AL11" s="100">
        <f t="shared" si="5"/>
        <v>4.8350339703157174E-3</v>
      </c>
      <c r="AM11" s="216">
        <v>561379.95000000007</v>
      </c>
      <c r="AN11" s="217">
        <v>501385.38</v>
      </c>
      <c r="AO11" s="217">
        <v>682239.05999999994</v>
      </c>
      <c r="AP11" s="217">
        <v>831072.02</v>
      </c>
      <c r="AQ11" s="217">
        <v>699909.03</v>
      </c>
      <c r="AR11" s="76">
        <f t="shared" si="6"/>
        <v>-0.15782385502522389</v>
      </c>
      <c r="AS11" s="53">
        <f t="shared" si="7"/>
        <v>-131162.99</v>
      </c>
      <c r="AT11" s="100">
        <f t="shared" si="8"/>
        <v>1.3278325175760635E-3</v>
      </c>
    </row>
    <row r="12" spans="2:46" x14ac:dyDescent="0.25">
      <c r="B12" s="19" t="s">
        <v>49</v>
      </c>
      <c r="C12" s="213">
        <v>217.66150873240738</v>
      </c>
      <c r="D12" s="214">
        <v>185.94689254811132</v>
      </c>
      <c r="E12" s="214">
        <v>193.40572492107887</v>
      </c>
      <c r="F12" s="214">
        <v>205.26869696038017</v>
      </c>
      <c r="G12" s="214">
        <v>221.97204321090055</v>
      </c>
      <c r="H12" s="76">
        <f t="shared" ref="H12:H18" si="9">G12/F12-1</f>
        <v>8.1373080736924841E-2</v>
      </c>
      <c r="I12" s="213">
        <v>133.82</v>
      </c>
      <c r="J12" s="214">
        <v>227.17</v>
      </c>
      <c r="K12" s="214">
        <v>234.03</v>
      </c>
      <c r="L12" s="214">
        <v>193.92</v>
      </c>
      <c r="M12" s="214">
        <v>218.97</v>
      </c>
      <c r="N12" s="76">
        <f t="shared" si="0"/>
        <v>0.12917698019801982</v>
      </c>
      <c r="P12" s="19" t="s">
        <v>49</v>
      </c>
      <c r="Q12" s="213">
        <v>106.93503731273283</v>
      </c>
      <c r="R12" s="214">
        <v>102.29984500067549</v>
      </c>
      <c r="S12" s="214">
        <v>117.73860077009307</v>
      </c>
      <c r="T12" s="214">
        <v>152.14315421579488</v>
      </c>
      <c r="U12" s="214">
        <v>158.58417622570499</v>
      </c>
      <c r="V12" s="76">
        <f t="shared" si="1"/>
        <v>4.2335273270162288E-2</v>
      </c>
      <c r="W12" s="213">
        <v>64.5</v>
      </c>
      <c r="X12" s="214">
        <v>137.46</v>
      </c>
      <c r="Y12" s="214">
        <v>129.34</v>
      </c>
      <c r="Z12" s="214">
        <v>146.66</v>
      </c>
      <c r="AA12" s="214">
        <v>150.28</v>
      </c>
      <c r="AB12" s="76">
        <f t="shared" si="2"/>
        <v>2.4682940133642362E-2</v>
      </c>
      <c r="AD12" s="19" t="s">
        <v>49</v>
      </c>
      <c r="AE12" s="215">
        <v>36939560.329999998</v>
      </c>
      <c r="AF12" s="53">
        <v>36129306.549999997</v>
      </c>
      <c r="AG12" s="53">
        <v>33051918.830000002</v>
      </c>
      <c r="AH12" s="53">
        <v>54510038.680000007</v>
      </c>
      <c r="AI12" s="53">
        <v>63428319.040000007</v>
      </c>
      <c r="AJ12" s="76">
        <f t="shared" si="3"/>
        <v>0.16360803580336025</v>
      </c>
      <c r="AK12" s="53">
        <f t="shared" si="4"/>
        <v>8918280.3599999994</v>
      </c>
      <c r="AL12" s="100">
        <f t="shared" si="5"/>
        <v>4.9724392337731682E-2</v>
      </c>
      <c r="AM12" s="216">
        <v>3301054.15</v>
      </c>
      <c r="AN12" s="217">
        <v>8475914.75</v>
      </c>
      <c r="AO12" s="217">
        <v>5601144.4899999993</v>
      </c>
      <c r="AP12" s="217">
        <v>7683622.0600000005</v>
      </c>
      <c r="AQ12" s="217">
        <v>10011476.389999999</v>
      </c>
      <c r="AR12" s="76">
        <f t="shared" si="6"/>
        <v>0.30296314834621074</v>
      </c>
      <c r="AS12" s="53">
        <f t="shared" si="7"/>
        <v>2327854.3299999982</v>
      </c>
      <c r="AT12" s="100">
        <f t="shared" si="8"/>
        <v>1.8993273882445861E-2</v>
      </c>
    </row>
    <row r="13" spans="2:46" x14ac:dyDescent="0.25">
      <c r="B13" s="19" t="s">
        <v>50</v>
      </c>
      <c r="C13" s="213">
        <v>55.750286653691731</v>
      </c>
      <c r="D13" s="214">
        <v>63.04926905745954</v>
      </c>
      <c r="E13" s="214">
        <v>72.082957151533989</v>
      </c>
      <c r="F13" s="214">
        <v>79.750597728341788</v>
      </c>
      <c r="G13" s="214">
        <v>88.269404284870973</v>
      </c>
      <c r="H13" s="76">
        <f t="shared" si="9"/>
        <v>0.10681809038657231</v>
      </c>
      <c r="I13" s="213">
        <v>60</v>
      </c>
      <c r="J13" s="214">
        <v>67.540000000000006</v>
      </c>
      <c r="K13" s="214">
        <v>72.59</v>
      </c>
      <c r="L13" s="214">
        <v>83.48</v>
      </c>
      <c r="M13" s="214">
        <v>85.63</v>
      </c>
      <c r="N13" s="76">
        <f t="shared" si="0"/>
        <v>2.5754671777671101E-2</v>
      </c>
      <c r="P13" s="19" t="s">
        <v>50</v>
      </c>
      <c r="Q13" s="213">
        <v>37.117422100590225</v>
      </c>
      <c r="R13" s="214">
        <v>49.208844321348344</v>
      </c>
      <c r="S13" s="214">
        <v>58.225224384914398</v>
      </c>
      <c r="T13" s="214">
        <v>64.177464801923151</v>
      </c>
      <c r="U13" s="214">
        <v>64.445184441868179</v>
      </c>
      <c r="V13" s="76">
        <f t="shared" si="1"/>
        <v>4.1715521292609026E-3</v>
      </c>
      <c r="W13" s="213">
        <v>42.68</v>
      </c>
      <c r="X13" s="214">
        <v>51.88</v>
      </c>
      <c r="Y13" s="214">
        <v>58.42</v>
      </c>
      <c r="Z13" s="214">
        <v>67.900000000000006</v>
      </c>
      <c r="AA13" s="214">
        <v>62.85</v>
      </c>
      <c r="AB13" s="76">
        <f t="shared" si="2"/>
        <v>-7.4374079528718773E-2</v>
      </c>
      <c r="AD13" s="19" t="s">
        <v>50</v>
      </c>
      <c r="AE13" s="215">
        <v>70191709.870000005</v>
      </c>
      <c r="AF13" s="53">
        <v>96899801.209999993</v>
      </c>
      <c r="AG13" s="53">
        <v>120431944.82000001</v>
      </c>
      <c r="AH13" s="53">
        <v>131328889.84</v>
      </c>
      <c r="AI13" s="53">
        <v>138277489.41999999</v>
      </c>
      <c r="AJ13" s="76">
        <f t="shared" si="3"/>
        <v>5.2909908767717173E-2</v>
      </c>
      <c r="AK13" s="53">
        <f t="shared" si="4"/>
        <v>6948599.5799999833</v>
      </c>
      <c r="AL13" s="100">
        <f t="shared" si="5"/>
        <v>0.10840211816208681</v>
      </c>
      <c r="AM13" s="216">
        <v>12005834.189999999</v>
      </c>
      <c r="AN13" s="217">
        <v>15098694.939999999</v>
      </c>
      <c r="AO13" s="217">
        <v>17747817.48</v>
      </c>
      <c r="AP13" s="217">
        <v>20452212.759999998</v>
      </c>
      <c r="AQ13" s="217">
        <v>19675493.02</v>
      </c>
      <c r="AR13" s="76">
        <f t="shared" si="6"/>
        <v>-3.7977296105538794E-2</v>
      </c>
      <c r="AS13" s="53">
        <f t="shared" si="7"/>
        <v>-776719.73999999836</v>
      </c>
      <c r="AT13" s="100">
        <f t="shared" si="8"/>
        <v>3.7327364430913064E-2</v>
      </c>
    </row>
    <row r="14" spans="2:46" x14ac:dyDescent="0.25">
      <c r="B14" s="19" t="s">
        <v>51</v>
      </c>
      <c r="C14" s="213">
        <v>86.843517211728013</v>
      </c>
      <c r="D14" s="214">
        <v>95.563416658904558</v>
      </c>
      <c r="E14" s="214">
        <v>107.71973652891266</v>
      </c>
      <c r="F14" s="214">
        <v>115.85148099034512</v>
      </c>
      <c r="G14" s="214">
        <v>118.83099677287363</v>
      </c>
      <c r="H14" s="76">
        <f t="shared" si="9"/>
        <v>2.571840909635692E-2</v>
      </c>
      <c r="I14" s="213">
        <v>78.63</v>
      </c>
      <c r="J14" s="214">
        <v>82.69</v>
      </c>
      <c r="K14" s="214">
        <v>89.63</v>
      </c>
      <c r="L14" s="214">
        <v>99.29</v>
      </c>
      <c r="M14" s="214">
        <v>99.29</v>
      </c>
      <c r="N14" s="76">
        <f t="shared" si="0"/>
        <v>0</v>
      </c>
      <c r="P14" s="19" t="s">
        <v>51</v>
      </c>
      <c r="Q14" s="213">
        <v>63.569832414965049</v>
      </c>
      <c r="R14" s="214">
        <v>72.119812533126122</v>
      </c>
      <c r="S14" s="214">
        <v>83.084032280819969</v>
      </c>
      <c r="T14" s="214">
        <v>89.674931794980509</v>
      </c>
      <c r="U14" s="214">
        <v>86.790690612851535</v>
      </c>
      <c r="V14" s="76">
        <f t="shared" si="1"/>
        <v>-3.2163293848085361E-2</v>
      </c>
      <c r="W14" s="213">
        <v>51.12</v>
      </c>
      <c r="X14" s="214">
        <v>44.64</v>
      </c>
      <c r="Y14" s="214">
        <v>46.43</v>
      </c>
      <c r="Z14" s="214">
        <v>56.18</v>
      </c>
      <c r="AA14" s="214">
        <v>63.32</v>
      </c>
      <c r="AB14" s="76">
        <f t="shared" si="2"/>
        <v>0.12709149163403355</v>
      </c>
      <c r="AD14" s="19" t="s">
        <v>51</v>
      </c>
      <c r="AE14" s="215">
        <v>4436970.32</v>
      </c>
      <c r="AF14" s="53">
        <v>5183245.46</v>
      </c>
      <c r="AG14" s="53">
        <v>6059064.0899999999</v>
      </c>
      <c r="AH14" s="53">
        <v>6539886.3999999994</v>
      </c>
      <c r="AI14" s="53">
        <v>6331699.8799999999</v>
      </c>
      <c r="AJ14" s="76">
        <f t="shared" si="3"/>
        <v>-3.1833354169576999E-2</v>
      </c>
      <c r="AK14" s="53">
        <f t="shared" si="4"/>
        <v>-208186.51999999955</v>
      </c>
      <c r="AL14" s="100">
        <f t="shared" si="5"/>
        <v>4.9637123253942787E-3</v>
      </c>
      <c r="AM14" s="216">
        <v>537233.99</v>
      </c>
      <c r="AN14" s="217">
        <v>469158.32</v>
      </c>
      <c r="AO14" s="217">
        <v>495153.02999999997</v>
      </c>
      <c r="AP14" s="217">
        <v>599114.80000000005</v>
      </c>
      <c r="AQ14" s="217">
        <v>665419.69000000006</v>
      </c>
      <c r="AR14" s="76">
        <f t="shared" si="6"/>
        <v>0.11067142724566303</v>
      </c>
      <c r="AS14" s="53">
        <f t="shared" si="7"/>
        <v>66304.890000000014</v>
      </c>
      <c r="AT14" s="100">
        <f t="shared" si="8"/>
        <v>1.2624010612027449E-3</v>
      </c>
    </row>
    <row r="15" spans="2:46" x14ac:dyDescent="0.25">
      <c r="B15" s="19" t="s">
        <v>52</v>
      </c>
      <c r="C15" s="213">
        <v>118.17059733966715</v>
      </c>
      <c r="D15" s="214">
        <v>141.16213419593666</v>
      </c>
      <c r="E15" s="214">
        <v>162.19405303149395</v>
      </c>
      <c r="F15" s="214">
        <v>189.1574690365957</v>
      </c>
      <c r="G15" s="214">
        <v>193.19726504371204</v>
      </c>
      <c r="H15" s="76">
        <f t="shared" si="9"/>
        <v>2.1356788223545031E-2</v>
      </c>
      <c r="I15" s="213">
        <v>119.18</v>
      </c>
      <c r="J15" s="214">
        <v>150.33000000000001</v>
      </c>
      <c r="K15" s="214">
        <v>160</v>
      </c>
      <c r="L15" s="214">
        <v>197.99</v>
      </c>
      <c r="M15" s="214">
        <v>167.35</v>
      </c>
      <c r="N15" s="76">
        <f t="shared" si="0"/>
        <v>-0.15475529067124605</v>
      </c>
      <c r="P15" s="19" t="s">
        <v>52</v>
      </c>
      <c r="Q15" s="213">
        <v>85.966822387254055</v>
      </c>
      <c r="R15" s="214">
        <v>112.43280007530863</v>
      </c>
      <c r="S15" s="214">
        <v>139.01961913562508</v>
      </c>
      <c r="T15" s="214">
        <v>158.37541352004649</v>
      </c>
      <c r="U15" s="214">
        <v>164.64574561025015</v>
      </c>
      <c r="V15" s="76">
        <f t="shared" si="1"/>
        <v>3.9591575174703353E-2</v>
      </c>
      <c r="W15" s="213">
        <v>83.02</v>
      </c>
      <c r="X15" s="214">
        <v>119.31</v>
      </c>
      <c r="Y15" s="214">
        <v>136.03</v>
      </c>
      <c r="Z15" s="214">
        <v>169.54</v>
      </c>
      <c r="AA15" s="214">
        <v>142.29</v>
      </c>
      <c r="AB15" s="76">
        <f t="shared" si="2"/>
        <v>-0.16072903149699191</v>
      </c>
      <c r="AD15" s="19" t="s">
        <v>52</v>
      </c>
      <c r="AE15" s="215">
        <v>28507487.399999999</v>
      </c>
      <c r="AF15" s="53">
        <v>42546736.370000005</v>
      </c>
      <c r="AG15" s="53">
        <v>52695730.439999998</v>
      </c>
      <c r="AH15" s="53">
        <v>59559223.489999995</v>
      </c>
      <c r="AI15" s="53">
        <v>59857462.650000006</v>
      </c>
      <c r="AJ15" s="76">
        <f t="shared" si="3"/>
        <v>5.0074386891576506E-3</v>
      </c>
      <c r="AK15" s="53">
        <f t="shared" si="4"/>
        <v>298239.16000001132</v>
      </c>
      <c r="AL15" s="100">
        <f t="shared" si="5"/>
        <v>4.692503289063548E-2</v>
      </c>
      <c r="AM15" s="216">
        <v>4429438.9399999995</v>
      </c>
      <c r="AN15" s="217">
        <v>6601892.1299999999</v>
      </c>
      <c r="AO15" s="217">
        <v>7539753.7299999995</v>
      </c>
      <c r="AP15" s="217">
        <v>8840129.4399999995</v>
      </c>
      <c r="AQ15" s="217">
        <v>8050271.6000000006</v>
      </c>
      <c r="AR15" s="76">
        <f t="shared" si="6"/>
        <v>-8.9349126091529119E-2</v>
      </c>
      <c r="AS15" s="53">
        <f t="shared" si="7"/>
        <v>-789857.83999999892</v>
      </c>
      <c r="AT15" s="100">
        <f t="shared" si="8"/>
        <v>1.5272573931213725E-2</v>
      </c>
    </row>
    <row r="16" spans="2:46" x14ac:dyDescent="0.25">
      <c r="B16" s="19" t="s">
        <v>53</v>
      </c>
      <c r="C16" s="213">
        <v>75.502983681783107</v>
      </c>
      <c r="D16" s="214">
        <v>85.254119716931996</v>
      </c>
      <c r="E16" s="214">
        <v>95.035160285272596</v>
      </c>
      <c r="F16" s="214">
        <v>102.59533807523239</v>
      </c>
      <c r="G16" s="214">
        <v>103.92925889702255</v>
      </c>
      <c r="H16" s="76">
        <f t="shared" si="9"/>
        <v>1.3001768372867151E-2</v>
      </c>
      <c r="I16" s="213">
        <v>72.41</v>
      </c>
      <c r="J16" s="214">
        <v>77.930000000000007</v>
      </c>
      <c r="K16" s="214">
        <v>85.57</v>
      </c>
      <c r="L16" s="214">
        <v>89.95</v>
      </c>
      <c r="M16" s="214">
        <v>97.55</v>
      </c>
      <c r="N16" s="76">
        <f t="shared" si="0"/>
        <v>8.4491384102278966E-2</v>
      </c>
      <c r="P16" s="19" t="s">
        <v>53</v>
      </c>
      <c r="Q16" s="213">
        <v>53.663116113839081</v>
      </c>
      <c r="R16" s="214">
        <v>60.190764121083234</v>
      </c>
      <c r="S16" s="214">
        <v>69.204292801405046</v>
      </c>
      <c r="T16" s="214">
        <v>75.428128705456487</v>
      </c>
      <c r="U16" s="214">
        <v>73.826390999981101</v>
      </c>
      <c r="V16" s="76">
        <f t="shared" si="1"/>
        <v>-2.1235283613227351E-2</v>
      </c>
      <c r="W16" s="213">
        <v>45.96</v>
      </c>
      <c r="X16" s="214">
        <v>48.95</v>
      </c>
      <c r="Y16" s="214">
        <v>50.51</v>
      </c>
      <c r="Z16" s="214">
        <v>60.61</v>
      </c>
      <c r="AA16" s="214">
        <v>61.97</v>
      </c>
      <c r="AB16" s="76">
        <f t="shared" si="2"/>
        <v>2.2438541494802733E-2</v>
      </c>
      <c r="AD16" s="19" t="s">
        <v>53</v>
      </c>
      <c r="AE16" s="215">
        <v>15697281.610000001</v>
      </c>
      <c r="AF16" s="53">
        <v>19112300.740000002</v>
      </c>
      <c r="AG16" s="53">
        <v>21567220.390000001</v>
      </c>
      <c r="AH16" s="53">
        <v>22509826.150000002</v>
      </c>
      <c r="AI16" s="53">
        <v>24340827.41</v>
      </c>
      <c r="AJ16" s="76">
        <f t="shared" si="3"/>
        <v>8.1342310144851826E-2</v>
      </c>
      <c r="AK16" s="53">
        <f t="shared" si="4"/>
        <v>1831001.2599999979</v>
      </c>
      <c r="AL16" s="100">
        <f t="shared" si="5"/>
        <v>1.9081900171382081E-2</v>
      </c>
      <c r="AM16" s="216">
        <v>1994587.39</v>
      </c>
      <c r="AN16" s="217">
        <v>2135257.46</v>
      </c>
      <c r="AO16" s="217">
        <v>2301918.7799999998</v>
      </c>
      <c r="AP16" s="217">
        <v>2641678.87</v>
      </c>
      <c r="AQ16" s="217">
        <v>2939249.51</v>
      </c>
      <c r="AR16" s="76">
        <f t="shared" si="6"/>
        <v>0.11264451685605503</v>
      </c>
      <c r="AS16" s="53">
        <f t="shared" si="7"/>
        <v>297570.63999999966</v>
      </c>
      <c r="AT16" s="100">
        <f t="shared" si="8"/>
        <v>5.576197633351738E-3</v>
      </c>
    </row>
    <row r="17" spans="2:46" x14ac:dyDescent="0.25">
      <c r="B17" s="19" t="s">
        <v>54</v>
      </c>
      <c r="C17" s="213">
        <v>111.50736069301333</v>
      </c>
      <c r="D17" s="214">
        <v>126.28558033239233</v>
      </c>
      <c r="E17" s="214">
        <v>140.20143163586997</v>
      </c>
      <c r="F17" s="214">
        <v>115.20210281441908</v>
      </c>
      <c r="G17" s="214">
        <v>122.53621995665083</v>
      </c>
      <c r="H17" s="76">
        <f t="shared" si="9"/>
        <v>6.3663049224425894E-2</v>
      </c>
      <c r="I17" s="213">
        <v>124.87</v>
      </c>
      <c r="J17" s="214">
        <v>138.43</v>
      </c>
      <c r="K17" s="214">
        <v>155.41999999999999</v>
      </c>
      <c r="L17" s="214">
        <v>122.03</v>
      </c>
      <c r="M17" s="214">
        <v>124.45</v>
      </c>
      <c r="N17" s="76">
        <f t="shared" si="0"/>
        <v>1.9831189051872533E-2</v>
      </c>
      <c r="P17" s="19" t="s">
        <v>54</v>
      </c>
      <c r="Q17" s="213">
        <v>81.728170964630749</v>
      </c>
      <c r="R17" s="214">
        <v>104.36102340649023</v>
      </c>
      <c r="S17" s="214">
        <v>120.51035415629654</v>
      </c>
      <c r="T17" s="214">
        <v>97.997086142538436</v>
      </c>
      <c r="U17" s="214">
        <v>100.81369294145253</v>
      </c>
      <c r="V17" s="76">
        <f t="shared" si="1"/>
        <v>2.874174028824994E-2</v>
      </c>
      <c r="W17" s="213">
        <v>101.08</v>
      </c>
      <c r="X17" s="214">
        <v>115.91</v>
      </c>
      <c r="Y17" s="214">
        <v>131.32</v>
      </c>
      <c r="Z17" s="214">
        <v>103.28</v>
      </c>
      <c r="AA17" s="214">
        <v>102.59</v>
      </c>
      <c r="AB17" s="76">
        <f t="shared" si="2"/>
        <v>-6.6808675445391152E-3</v>
      </c>
      <c r="AD17" s="19" t="s">
        <v>54</v>
      </c>
      <c r="AE17" s="215">
        <v>47144692.859999999</v>
      </c>
      <c r="AF17" s="53">
        <v>59121608.32</v>
      </c>
      <c r="AG17" s="53">
        <v>69541496.020000011</v>
      </c>
      <c r="AH17" s="53">
        <v>56945364.810000002</v>
      </c>
      <c r="AI17" s="53">
        <v>59055056.009999998</v>
      </c>
      <c r="AJ17" s="76">
        <f t="shared" si="3"/>
        <v>3.7047636924252725E-2</v>
      </c>
      <c r="AK17" s="53">
        <f t="shared" si="4"/>
        <v>2109691.1999999955</v>
      </c>
      <c r="AL17" s="100">
        <f t="shared" si="5"/>
        <v>4.6295989220778808E-2</v>
      </c>
      <c r="AM17" s="216">
        <v>8526586.6400000006</v>
      </c>
      <c r="AN17" s="217">
        <v>9780705.7200000007</v>
      </c>
      <c r="AO17" s="217">
        <v>11081336.34</v>
      </c>
      <c r="AP17" s="217">
        <v>8776012.5</v>
      </c>
      <c r="AQ17" s="217">
        <v>8844783.290000001</v>
      </c>
      <c r="AR17" s="76">
        <f t="shared" si="6"/>
        <v>7.8362228859634175E-3</v>
      </c>
      <c r="AS17" s="53">
        <f t="shared" si="7"/>
        <v>68770.790000000969</v>
      </c>
      <c r="AT17" s="100">
        <f t="shared" si="8"/>
        <v>1.6779881898902487E-2</v>
      </c>
    </row>
    <row r="18" spans="2:46" x14ac:dyDescent="0.25">
      <c r="B18" s="23" t="s">
        <v>55</v>
      </c>
      <c r="C18" s="213">
        <v>61.426924275146476</v>
      </c>
      <c r="D18" s="214">
        <v>67.64683213103639</v>
      </c>
      <c r="E18" s="214">
        <v>71.649337041055091</v>
      </c>
      <c r="F18" s="214">
        <v>73.10181064410618</v>
      </c>
      <c r="G18" s="214">
        <v>94.364605790604827</v>
      </c>
      <c r="H18" s="76">
        <f t="shared" si="9"/>
        <v>0.29086550605450645</v>
      </c>
      <c r="I18" s="213">
        <v>63.81</v>
      </c>
      <c r="J18" s="214">
        <v>67.17</v>
      </c>
      <c r="K18" s="214">
        <v>61.64</v>
      </c>
      <c r="L18" s="214">
        <v>66.099999999999994</v>
      </c>
      <c r="M18" s="214">
        <v>90.36</v>
      </c>
      <c r="N18" s="76">
        <f t="shared" si="0"/>
        <v>0.36701966717095313</v>
      </c>
      <c r="P18" s="23" t="s">
        <v>55</v>
      </c>
      <c r="Q18" s="213">
        <v>40.184450231984655</v>
      </c>
      <c r="R18" s="214">
        <v>52.776908382162915</v>
      </c>
      <c r="S18" s="214">
        <v>56.198227810702214</v>
      </c>
      <c r="T18" s="214">
        <v>55.195766997326238</v>
      </c>
      <c r="U18" s="214">
        <v>72.150870924069281</v>
      </c>
      <c r="V18" s="76">
        <f t="shared" si="1"/>
        <v>0.30718123597348268</v>
      </c>
      <c r="W18" s="213">
        <v>36.11</v>
      </c>
      <c r="X18" s="214">
        <v>43.74</v>
      </c>
      <c r="Y18" s="214">
        <v>39.58</v>
      </c>
      <c r="Z18" s="214">
        <v>42.01</v>
      </c>
      <c r="AA18" s="214">
        <v>62.02</v>
      </c>
      <c r="AB18" s="76">
        <f t="shared" si="2"/>
        <v>0.4763151630564153</v>
      </c>
      <c r="AD18" s="23" t="s">
        <v>55</v>
      </c>
      <c r="AE18" s="215">
        <v>11485342.190000001</v>
      </c>
      <c r="AF18" s="53">
        <v>13663025.75</v>
      </c>
      <c r="AG18" s="53">
        <v>15075714.310000001</v>
      </c>
      <c r="AH18" s="53">
        <v>14888665.33</v>
      </c>
      <c r="AI18" s="53">
        <v>19449405.990000002</v>
      </c>
      <c r="AJ18" s="76">
        <f t="shared" si="3"/>
        <v>0.30632300202290885</v>
      </c>
      <c r="AK18" s="53">
        <f t="shared" si="4"/>
        <v>4560740.660000002</v>
      </c>
      <c r="AL18" s="100">
        <f t="shared" si="5"/>
        <v>1.5247288731910067E-2</v>
      </c>
      <c r="AM18" s="216">
        <v>1356617.13</v>
      </c>
      <c r="AN18" s="217">
        <v>1643473.64</v>
      </c>
      <c r="AO18" s="217">
        <v>1544670.82</v>
      </c>
      <c r="AP18" s="217">
        <v>1639794.1</v>
      </c>
      <c r="AQ18" s="217">
        <v>2420521.7400000002</v>
      </c>
      <c r="AR18" s="76">
        <f t="shared" si="6"/>
        <v>0.47611321445783972</v>
      </c>
      <c r="AS18" s="53">
        <f t="shared" si="7"/>
        <v>780727.64000000013</v>
      </c>
      <c r="AT18" s="100">
        <f t="shared" si="8"/>
        <v>4.5920931694105934E-3</v>
      </c>
    </row>
    <row r="19" spans="2:46" x14ac:dyDescent="0.25">
      <c r="B19" s="103"/>
      <c r="C19" s="104"/>
      <c r="D19" s="104"/>
      <c r="E19" s="104"/>
      <c r="F19" s="104"/>
      <c r="G19" s="105"/>
      <c r="H19" s="104"/>
      <c r="I19" s="104"/>
      <c r="J19" s="104"/>
      <c r="K19" s="104"/>
      <c r="L19" s="104"/>
      <c r="M19" s="106"/>
      <c r="N19" s="106"/>
      <c r="P19" s="103"/>
      <c r="Q19" s="104"/>
      <c r="R19" s="104"/>
      <c r="S19" s="104"/>
      <c r="T19" s="104"/>
      <c r="U19" s="105"/>
      <c r="V19" s="104"/>
      <c r="W19" s="104"/>
      <c r="X19" s="104"/>
      <c r="Y19" s="104"/>
      <c r="Z19" s="104"/>
      <c r="AA19" s="106"/>
      <c r="AB19" s="106"/>
      <c r="AD19" s="103"/>
      <c r="AE19" s="103"/>
      <c r="AF19" s="103"/>
      <c r="AG19" s="103"/>
      <c r="AH19" s="104"/>
      <c r="AI19" s="105"/>
      <c r="AJ19" s="106"/>
      <c r="AK19" s="106"/>
      <c r="AL19" s="106"/>
      <c r="AM19" s="104"/>
      <c r="AN19" s="104"/>
      <c r="AO19" s="104"/>
      <c r="AP19" s="104"/>
      <c r="AQ19" s="106"/>
      <c r="AR19" s="106"/>
      <c r="AS19" s="106"/>
      <c r="AT19" s="106"/>
    </row>
    <row r="20" spans="2:46" x14ac:dyDescent="0.25">
      <c r="B20" s="107" t="s">
        <v>57</v>
      </c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P20" s="107" t="s">
        <v>57</v>
      </c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D20" s="107" t="s">
        <v>57</v>
      </c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</row>
    <row r="21" spans="2:46" ht="39" customHeight="1" x14ac:dyDescent="0.25">
      <c r="B21" s="290" t="s">
        <v>169</v>
      </c>
      <c r="C21" s="290"/>
      <c r="D21" s="290"/>
      <c r="E21" s="290"/>
      <c r="F21" s="290"/>
      <c r="G21" s="290"/>
      <c r="H21" s="290"/>
      <c r="I21" s="290"/>
      <c r="J21" s="290"/>
      <c r="K21" s="290"/>
      <c r="L21" s="290"/>
      <c r="M21" s="290"/>
      <c r="N21" s="290"/>
      <c r="P21" s="290" t="s">
        <v>170</v>
      </c>
      <c r="Q21" s="290"/>
      <c r="R21" s="290"/>
      <c r="S21" s="290"/>
      <c r="T21" s="290"/>
      <c r="U21" s="290"/>
      <c r="V21" s="290"/>
      <c r="W21" s="290"/>
      <c r="X21" s="218"/>
      <c r="Y21" s="218"/>
      <c r="Z21" s="218"/>
      <c r="AA21" s="218"/>
      <c r="AB21" s="218"/>
      <c r="AD21" s="312" t="s">
        <v>171</v>
      </c>
      <c r="AE21" s="312"/>
      <c r="AF21" s="312"/>
      <c r="AG21" s="312"/>
      <c r="AH21" s="312"/>
      <c r="AI21" s="312"/>
      <c r="AJ21" s="312"/>
      <c r="AK21" s="312"/>
      <c r="AL21" s="312"/>
      <c r="AM21" s="312"/>
      <c r="AN21" s="312"/>
      <c r="AO21" s="312"/>
      <c r="AP21" s="312"/>
      <c r="AQ21" s="312"/>
      <c r="AR21" s="312"/>
      <c r="AS21" s="312"/>
      <c r="AT21" s="312"/>
    </row>
    <row r="22" spans="2:46" ht="24" customHeight="1" x14ac:dyDescent="0.25">
      <c r="B22" s="290" t="s">
        <v>172</v>
      </c>
      <c r="C22" s="290"/>
      <c r="D22" s="290"/>
      <c r="E22" s="290"/>
      <c r="F22" s="290"/>
      <c r="G22" s="290"/>
      <c r="H22" s="290"/>
      <c r="I22" s="290"/>
      <c r="J22" s="290"/>
      <c r="K22" s="290"/>
      <c r="L22" s="290"/>
      <c r="M22" s="290"/>
      <c r="N22" s="290"/>
      <c r="P22" s="313" t="s">
        <v>173</v>
      </c>
      <c r="Q22" s="313"/>
      <c r="R22" s="313"/>
      <c r="S22" s="313"/>
      <c r="T22" s="313"/>
      <c r="U22" s="313"/>
      <c r="V22" s="313"/>
      <c r="W22" s="313"/>
      <c r="X22" s="219"/>
      <c r="Y22" s="219"/>
      <c r="Z22" s="219"/>
      <c r="AA22" s="219"/>
      <c r="AB22" s="219"/>
      <c r="AQ22" s="53">
        <f>AQ11/M11</f>
        <v>8232.2868736767832</v>
      </c>
    </row>
    <row r="23" spans="2:46" x14ac:dyDescent="0.25">
      <c r="B23" s="290"/>
      <c r="C23" s="290"/>
      <c r="D23" s="290"/>
      <c r="E23" s="290"/>
      <c r="F23" s="290"/>
      <c r="G23" s="290"/>
      <c r="H23" s="290"/>
      <c r="I23" s="290"/>
      <c r="J23" s="290"/>
      <c r="K23" s="290"/>
      <c r="L23" s="290"/>
      <c r="M23" s="290"/>
      <c r="N23" s="29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</row>
    <row r="27" spans="2:46" ht="50.25" customHeight="1" thickBot="1" x14ac:dyDescent="0.3">
      <c r="B27" s="273" t="s">
        <v>174</v>
      </c>
      <c r="C27" s="273"/>
      <c r="D27" s="273"/>
      <c r="E27" s="273"/>
      <c r="F27" s="273"/>
      <c r="G27" s="273"/>
      <c r="H27" s="273"/>
      <c r="I27" s="144"/>
      <c r="P27" s="273" t="s">
        <v>175</v>
      </c>
      <c r="Q27" s="273"/>
      <c r="R27" s="273"/>
      <c r="S27" s="273"/>
      <c r="T27" s="273"/>
      <c r="U27" s="273"/>
      <c r="V27" s="273"/>
      <c r="W27" s="273"/>
      <c r="AE27" s="273" t="s">
        <v>176</v>
      </c>
      <c r="AF27" s="273"/>
      <c r="AG27" s="273"/>
      <c r="AH27" s="273"/>
      <c r="AI27" s="273"/>
      <c r="AJ27" s="273"/>
      <c r="AK27" s="273"/>
      <c r="AL27" s="144"/>
    </row>
    <row r="28" spans="2:46" ht="6" customHeight="1" thickBot="1" x14ac:dyDescent="0.3">
      <c r="B28" s="85"/>
      <c r="C28" s="85"/>
      <c r="D28" s="85"/>
      <c r="E28" s="85"/>
      <c r="F28" s="85"/>
      <c r="G28" s="85"/>
      <c r="H28" s="85"/>
      <c r="I28" s="86"/>
      <c r="P28" s="85"/>
      <c r="Q28" s="85"/>
      <c r="R28" s="85"/>
      <c r="S28" s="85"/>
      <c r="T28" s="85"/>
      <c r="U28" s="85"/>
      <c r="V28" s="85"/>
      <c r="W28" s="86"/>
      <c r="AE28" s="86"/>
      <c r="AF28" s="86"/>
      <c r="AG28" s="86"/>
      <c r="AH28" s="86"/>
      <c r="AI28" s="86"/>
      <c r="AJ28" s="86"/>
      <c r="AK28" s="86"/>
      <c r="AL28" s="86"/>
    </row>
    <row r="29" spans="2:46" ht="15.75" thickBot="1" x14ac:dyDescent="0.3">
      <c r="B29" s="87"/>
      <c r="C29" s="185">
        <v>2021</v>
      </c>
      <c r="D29" s="185">
        <v>2022</v>
      </c>
      <c r="E29" s="185">
        <v>2023</v>
      </c>
      <c r="F29" s="185">
        <v>2024</v>
      </c>
      <c r="G29" s="185">
        <v>2025</v>
      </c>
      <c r="H29" s="14" t="str">
        <f>CONCATENATE("var. ",RIGHT(G29,2),"/",RIGHT(F29,2))</f>
        <v>var. 25/24</v>
      </c>
      <c r="I29" s="203" t="str">
        <f>CONCATENATE("dif. ",RIGHT(G29,2),"/",RIGHT(F29,2))</f>
        <v>dif. 25/24</v>
      </c>
      <c r="P29" s="87"/>
      <c r="Q29" s="185">
        <v>2021</v>
      </c>
      <c r="R29" s="185">
        <v>2022</v>
      </c>
      <c r="S29" s="185">
        <v>2023</v>
      </c>
      <c r="T29" s="185">
        <v>2024</v>
      </c>
      <c r="U29" s="185">
        <v>2025</v>
      </c>
      <c r="V29" s="14" t="str">
        <f>CONCATENATE("var. ",RIGHT(U29,2),"/",RIGHT(T29,2))</f>
        <v>var. 25/24</v>
      </c>
      <c r="W29" s="203" t="str">
        <f>CONCATENATE("dif. ",RIGHT(U29,2),"/",RIGHT(T29,2))</f>
        <v>dif. 25/24</v>
      </c>
      <c r="AE29" s="87"/>
      <c r="AF29" s="185">
        <v>2021</v>
      </c>
      <c r="AG29" s="185">
        <v>2022</v>
      </c>
      <c r="AH29" s="185">
        <v>2023</v>
      </c>
      <c r="AI29" s="185">
        <v>2024</v>
      </c>
      <c r="AJ29" s="185">
        <v>2025</v>
      </c>
      <c r="AK29" s="14" t="str">
        <f>CONCATENATE("var. ",RIGHT(AJ29,2),"/",RIGHT(AI29,2))</f>
        <v>var. 25/24</v>
      </c>
      <c r="AL29" s="203" t="str">
        <f>CONCATENATE("dif. ",RIGHT(AJ29,2),"/",RIGHT(AI29,2))</f>
        <v>dif. 25/24</v>
      </c>
    </row>
    <row r="30" spans="2:46" ht="15.75" x14ac:dyDescent="0.25">
      <c r="B30" s="205" t="s">
        <v>45</v>
      </c>
      <c r="C30" s="206">
        <v>99.07</v>
      </c>
      <c r="D30" s="206">
        <v>105.64</v>
      </c>
      <c r="E30" s="206">
        <v>114.04</v>
      </c>
      <c r="F30" s="206">
        <v>125.24</v>
      </c>
      <c r="G30" s="206">
        <v>132.82</v>
      </c>
      <c r="H30" s="134">
        <f>G30/F30-1</f>
        <v>6.052379431491528E-2</v>
      </c>
      <c r="I30" s="206">
        <f>G30-F30</f>
        <v>7.5799999999999983</v>
      </c>
      <c r="P30" s="205" t="s">
        <v>45</v>
      </c>
      <c r="Q30" s="206">
        <v>53</v>
      </c>
      <c r="R30" s="206">
        <v>80.58</v>
      </c>
      <c r="S30" s="206">
        <v>93.36</v>
      </c>
      <c r="T30" s="206">
        <v>104.71</v>
      </c>
      <c r="U30" s="206">
        <v>109.91999999999999</v>
      </c>
      <c r="V30" s="134">
        <f>U30/T30-1</f>
        <v>4.9756470251169915E-2</v>
      </c>
      <c r="W30" s="206">
        <f>U30-T30</f>
        <v>5.2099999999999937</v>
      </c>
      <c r="AE30" s="205" t="s">
        <v>45</v>
      </c>
      <c r="AF30" s="211">
        <v>651901800.17999995</v>
      </c>
      <c r="AG30" s="211">
        <v>1529335375.5</v>
      </c>
      <c r="AH30" s="211">
        <v>1802709096.5</v>
      </c>
      <c r="AI30" s="211">
        <v>2047521372.4000001</v>
      </c>
      <c r="AJ30" s="211">
        <v>2121285463.5999999</v>
      </c>
      <c r="AK30" s="134">
        <f>AJ30/AI30-1</f>
        <v>3.6026042118201262E-2</v>
      </c>
      <c r="AL30" s="133">
        <f>AJ30-AI30</f>
        <v>73764091.199999809</v>
      </c>
    </row>
    <row r="31" spans="2:46" ht="15.75" customHeight="1" x14ac:dyDescent="0.25">
      <c r="B31" s="15" t="s">
        <v>46</v>
      </c>
      <c r="C31" s="213">
        <v>126.49</v>
      </c>
      <c r="D31" s="213">
        <v>131.02000000000001</v>
      </c>
      <c r="E31" s="213">
        <v>138.91</v>
      </c>
      <c r="F31" s="213">
        <v>151.52000000000001</v>
      </c>
      <c r="G31" s="213">
        <v>159.22</v>
      </c>
      <c r="H31" s="76">
        <f t="shared" ref="H31:H35" si="10">G31/F31-1</f>
        <v>5.081837381203802E-2</v>
      </c>
      <c r="I31" s="214">
        <f t="shared" ref="I31:I40" si="11">G31-F31</f>
        <v>7.6999999999999886</v>
      </c>
      <c r="P31" s="15" t="s">
        <v>46</v>
      </c>
      <c r="Q31" s="213">
        <v>72.88000000000001</v>
      </c>
      <c r="R31" s="214">
        <v>107.72</v>
      </c>
      <c r="S31" s="214">
        <v>119.28</v>
      </c>
      <c r="T31" s="214">
        <v>131.19999999999999</v>
      </c>
      <c r="U31" s="214">
        <v>135.62</v>
      </c>
      <c r="V31" s="76">
        <f t="shared" ref="V31:V40" si="12">U31/T31-1</f>
        <v>3.3689024390244127E-2</v>
      </c>
      <c r="W31" s="214">
        <f t="shared" ref="W31:W40" si="13">U31-T31</f>
        <v>4.4200000000000159</v>
      </c>
      <c r="AE31" s="15" t="s">
        <v>46</v>
      </c>
      <c r="AF31" s="216">
        <v>333738906.92999995</v>
      </c>
      <c r="AG31" s="217">
        <v>743382276.49000001</v>
      </c>
      <c r="AH31" s="217">
        <v>857198465.50999999</v>
      </c>
      <c r="AI31" s="217">
        <v>951397748.67999995</v>
      </c>
      <c r="AJ31" s="217">
        <v>944420621.82000005</v>
      </c>
      <c r="AK31" s="76">
        <f t="shared" ref="AK31:AK40" si="14">AJ31/AI31-1</f>
        <v>-7.3335540994081683E-3</v>
      </c>
      <c r="AL31" s="53">
        <f t="shared" ref="AL31:AL40" si="15">AJ31-AI31</f>
        <v>-6977126.8599998951</v>
      </c>
    </row>
    <row r="32" spans="2:46" ht="15.75" customHeight="1" x14ac:dyDescent="0.25">
      <c r="B32" s="19" t="s">
        <v>47</v>
      </c>
      <c r="C32" s="213">
        <v>85.87</v>
      </c>
      <c r="D32" s="213">
        <v>93.49</v>
      </c>
      <c r="E32" s="213">
        <v>101.3</v>
      </c>
      <c r="F32" s="213">
        <v>115.83999999999999</v>
      </c>
      <c r="G32" s="213">
        <v>124.52000000000001</v>
      </c>
      <c r="H32" s="76">
        <f t="shared" si="10"/>
        <v>7.4930939226519611E-2</v>
      </c>
      <c r="I32" s="214">
        <f t="shared" si="11"/>
        <v>8.680000000000021</v>
      </c>
      <c r="P32" s="19" t="s">
        <v>47</v>
      </c>
      <c r="Q32" s="213">
        <v>43.14</v>
      </c>
      <c r="R32" s="214">
        <v>71.260000000000005</v>
      </c>
      <c r="S32" s="214">
        <v>83.79</v>
      </c>
      <c r="T32" s="214">
        <v>97.15</v>
      </c>
      <c r="U32" s="214">
        <v>103.05</v>
      </c>
      <c r="V32" s="76">
        <f t="shared" si="12"/>
        <v>6.0730828615542798E-2</v>
      </c>
      <c r="W32" s="214">
        <f t="shared" si="13"/>
        <v>5.8999999999999915</v>
      </c>
      <c r="AE32" s="19" t="s">
        <v>47</v>
      </c>
      <c r="AF32" s="216">
        <v>137154616.22</v>
      </c>
      <c r="AG32" s="217">
        <v>381266756.46000004</v>
      </c>
      <c r="AH32" s="217">
        <v>437659233.52999997</v>
      </c>
      <c r="AI32" s="217">
        <v>514533652.09000003</v>
      </c>
      <c r="AJ32" s="217">
        <v>542697009.57999992</v>
      </c>
      <c r="AK32" s="76">
        <f t="shared" si="14"/>
        <v>5.4735695858963318E-2</v>
      </c>
      <c r="AL32" s="53">
        <f t="shared" si="15"/>
        <v>28163357.48999989</v>
      </c>
    </row>
    <row r="33" spans="2:39" ht="15.75" customHeight="1" x14ac:dyDescent="0.25">
      <c r="B33" s="19" t="s">
        <v>48</v>
      </c>
      <c r="C33" s="213">
        <v>66.41</v>
      </c>
      <c r="D33" s="213">
        <v>77.45</v>
      </c>
      <c r="E33" s="213">
        <v>80.180000000000007</v>
      </c>
      <c r="F33" s="213">
        <v>87.94</v>
      </c>
      <c r="G33" s="213">
        <v>99.82</v>
      </c>
      <c r="H33" s="76">
        <f t="shared" si="10"/>
        <v>0.1350921082556289</v>
      </c>
      <c r="I33" s="214">
        <f t="shared" si="11"/>
        <v>11.879999999999995</v>
      </c>
      <c r="P33" s="19" t="s">
        <v>48</v>
      </c>
      <c r="Q33" s="213">
        <v>36.92</v>
      </c>
      <c r="R33" s="214">
        <v>53.92</v>
      </c>
      <c r="S33" s="214">
        <v>54.70000000000001</v>
      </c>
      <c r="T33" s="214">
        <v>63.160000000000004</v>
      </c>
      <c r="U33" s="214">
        <v>68.97</v>
      </c>
      <c r="V33" s="76">
        <f t="shared" si="12"/>
        <v>9.198860037998724E-2</v>
      </c>
      <c r="W33" s="214">
        <f t="shared" si="13"/>
        <v>5.8099999999999952</v>
      </c>
      <c r="AE33" s="19" t="s">
        <v>48</v>
      </c>
      <c r="AF33" s="216">
        <v>4381169.17</v>
      </c>
      <c r="AG33" s="217">
        <v>8179727.9700000007</v>
      </c>
      <c r="AH33" s="217">
        <v>8858381.8200000003</v>
      </c>
      <c r="AI33" s="217">
        <v>10237092.02</v>
      </c>
      <c r="AJ33" s="217">
        <v>11416716.560000001</v>
      </c>
      <c r="AK33" s="76">
        <f t="shared" si="14"/>
        <v>0.11523043240164221</v>
      </c>
      <c r="AL33" s="53">
        <f t="shared" si="15"/>
        <v>1179624.540000001</v>
      </c>
    </row>
    <row r="34" spans="2:39" ht="15.75" customHeight="1" x14ac:dyDescent="0.25">
      <c r="B34" s="19" t="s">
        <v>49</v>
      </c>
      <c r="C34" s="213">
        <v>154.08000000000001</v>
      </c>
      <c r="D34" s="213">
        <v>185.18</v>
      </c>
      <c r="E34" s="213">
        <v>211.21</v>
      </c>
      <c r="F34" s="213">
        <v>199.41</v>
      </c>
      <c r="G34" s="213">
        <v>220.58</v>
      </c>
      <c r="H34" s="76">
        <f t="shared" si="10"/>
        <v>0.10616318138508607</v>
      </c>
      <c r="I34" s="214">
        <f t="shared" si="11"/>
        <v>21.170000000000016</v>
      </c>
      <c r="P34" s="19" t="s">
        <v>49</v>
      </c>
      <c r="Q34" s="213">
        <v>46.13</v>
      </c>
      <c r="R34" s="214">
        <v>94.38</v>
      </c>
      <c r="S34" s="214">
        <v>117.35</v>
      </c>
      <c r="T34" s="214">
        <v>126.66000000000001</v>
      </c>
      <c r="U34" s="214">
        <v>163.08000000000001</v>
      </c>
      <c r="V34" s="76">
        <f t="shared" si="12"/>
        <v>0.2875414495499764</v>
      </c>
      <c r="W34" s="214">
        <f t="shared" si="13"/>
        <v>36.42</v>
      </c>
      <c r="AE34" s="19" t="s">
        <v>49</v>
      </c>
      <c r="AF34" s="216">
        <v>22694182.549999997</v>
      </c>
      <c r="AG34" s="217">
        <v>56883669.170000002</v>
      </c>
      <c r="AH34" s="217">
        <v>67682841.399999991</v>
      </c>
      <c r="AI34" s="217">
        <v>67200118.379999995</v>
      </c>
      <c r="AJ34" s="217">
        <v>102919216.39</v>
      </c>
      <c r="AK34" s="76">
        <f t="shared" si="14"/>
        <v>0.53153326022459324</v>
      </c>
      <c r="AL34" s="53">
        <f t="shared" si="15"/>
        <v>35719098.010000005</v>
      </c>
    </row>
    <row r="35" spans="2:39" ht="15.75" customHeight="1" x14ac:dyDescent="0.25">
      <c r="B35" s="19" t="s">
        <v>50</v>
      </c>
      <c r="C35" s="213">
        <v>51.25</v>
      </c>
      <c r="D35" s="213">
        <v>59.12</v>
      </c>
      <c r="E35" s="213">
        <v>65.930000000000007</v>
      </c>
      <c r="F35" s="213">
        <v>74.61</v>
      </c>
      <c r="G35" s="213">
        <v>82.59</v>
      </c>
      <c r="H35" s="76">
        <f t="shared" si="10"/>
        <v>0.1069561720948935</v>
      </c>
      <c r="I35" s="214">
        <f t="shared" si="11"/>
        <v>7.980000000000004</v>
      </c>
      <c r="P35" s="19" t="s">
        <v>50</v>
      </c>
      <c r="Q35" s="213">
        <v>28.24</v>
      </c>
      <c r="R35" s="214">
        <v>42.01</v>
      </c>
      <c r="S35" s="214">
        <v>52.07</v>
      </c>
      <c r="T35" s="214">
        <v>61.36999999999999</v>
      </c>
      <c r="U35" s="214">
        <v>67.099999999999994</v>
      </c>
      <c r="V35" s="76">
        <f t="shared" si="12"/>
        <v>9.336809516050204E-2</v>
      </c>
      <c r="W35" s="214">
        <f t="shared" si="13"/>
        <v>5.730000000000004</v>
      </c>
      <c r="AE35" s="19" t="s">
        <v>50</v>
      </c>
      <c r="AF35" s="216">
        <v>54944687.289999999</v>
      </c>
      <c r="AG35" s="217">
        <v>136922674.63999999</v>
      </c>
      <c r="AH35" s="217">
        <v>177906116.87</v>
      </c>
      <c r="AI35" s="217">
        <v>218084310.92000002</v>
      </c>
      <c r="AJ35" s="217">
        <v>237061832.75</v>
      </c>
      <c r="AK35" s="76">
        <f t="shared" si="14"/>
        <v>8.7019197987889818E-2</v>
      </c>
      <c r="AL35" s="53">
        <f t="shared" si="15"/>
        <v>18977521.829999983</v>
      </c>
    </row>
    <row r="36" spans="2:39" x14ac:dyDescent="0.25">
      <c r="B36" s="19" t="s">
        <v>51</v>
      </c>
      <c r="C36" s="213">
        <v>84.44</v>
      </c>
      <c r="D36" s="213">
        <v>89.45</v>
      </c>
      <c r="E36" s="213">
        <v>98.5</v>
      </c>
      <c r="F36" s="213">
        <v>108.5</v>
      </c>
      <c r="G36" s="213">
        <v>115.69</v>
      </c>
      <c r="H36" s="76">
        <f>G36/F36-1</f>
        <v>6.6267281105990783E-2</v>
      </c>
      <c r="I36" s="214">
        <f t="shared" si="11"/>
        <v>7.1899999999999977</v>
      </c>
      <c r="P36" s="19" t="s">
        <v>51</v>
      </c>
      <c r="Q36" s="213">
        <v>45.63</v>
      </c>
      <c r="R36" s="214">
        <v>64.64</v>
      </c>
      <c r="S36" s="214">
        <v>73.62</v>
      </c>
      <c r="T36" s="214">
        <v>81.849999999999994</v>
      </c>
      <c r="U36" s="214">
        <v>88.52</v>
      </c>
      <c r="V36" s="76">
        <f t="shared" si="12"/>
        <v>8.1490531459987858E-2</v>
      </c>
      <c r="W36" s="214">
        <f t="shared" si="13"/>
        <v>6.6700000000000017</v>
      </c>
      <c r="AE36" s="19" t="s">
        <v>51</v>
      </c>
      <c r="AF36" s="216">
        <v>4498900.47</v>
      </c>
      <c r="AG36" s="217">
        <v>7864755.4300000006</v>
      </c>
      <c r="AH36" s="217">
        <v>9097368.0999999996</v>
      </c>
      <c r="AI36" s="217">
        <v>10277452.130000001</v>
      </c>
      <c r="AJ36" s="217">
        <v>11114507.720000001</v>
      </c>
      <c r="AK36" s="76">
        <f t="shared" si="14"/>
        <v>8.1445827177012653E-2</v>
      </c>
      <c r="AL36" s="53">
        <f t="shared" si="15"/>
        <v>837055.58999999985</v>
      </c>
    </row>
    <row r="37" spans="2:39" x14ac:dyDescent="0.25">
      <c r="B37" s="19" t="s">
        <v>52</v>
      </c>
      <c r="C37" s="213">
        <v>125.31</v>
      </c>
      <c r="D37" s="213">
        <v>128.21</v>
      </c>
      <c r="E37" s="213">
        <v>149.08000000000001</v>
      </c>
      <c r="F37" s="213">
        <v>167.62</v>
      </c>
      <c r="G37" s="213">
        <v>191.89</v>
      </c>
      <c r="H37" s="76">
        <f t="shared" ref="H37:H40" si="16">G37/F37-1</f>
        <v>0.14479179095573302</v>
      </c>
      <c r="I37" s="214">
        <f t="shared" si="11"/>
        <v>24.269999999999982</v>
      </c>
      <c r="P37" s="19" t="s">
        <v>52</v>
      </c>
      <c r="Q37" s="213">
        <v>82.55</v>
      </c>
      <c r="R37" s="214">
        <v>96.820000000000007</v>
      </c>
      <c r="S37" s="214">
        <v>122.12</v>
      </c>
      <c r="T37" s="214">
        <v>143.97</v>
      </c>
      <c r="U37" s="214">
        <v>163.12</v>
      </c>
      <c r="V37" s="76">
        <f t="shared" si="12"/>
        <v>0.13301382232409531</v>
      </c>
      <c r="W37" s="214">
        <f t="shared" si="13"/>
        <v>19.150000000000006</v>
      </c>
      <c r="AE37" s="19" t="s">
        <v>52</v>
      </c>
      <c r="AF37" s="216">
        <v>30921945.879999999</v>
      </c>
      <c r="AG37" s="217">
        <v>58546964.609999999</v>
      </c>
      <c r="AH37" s="217">
        <v>79534420.480000004</v>
      </c>
      <c r="AI37" s="217">
        <v>93956888.709999993</v>
      </c>
      <c r="AJ37" s="217">
        <v>103670606.91</v>
      </c>
      <c r="AK37" s="76">
        <f t="shared" si="14"/>
        <v>0.10338484312716667</v>
      </c>
      <c r="AL37" s="53">
        <f t="shared" si="15"/>
        <v>9713718.200000003</v>
      </c>
    </row>
    <row r="38" spans="2:39" x14ac:dyDescent="0.25">
      <c r="B38" s="19" t="s">
        <v>53</v>
      </c>
      <c r="C38" s="213">
        <v>68.989999999999995</v>
      </c>
      <c r="D38" s="213">
        <v>76.34</v>
      </c>
      <c r="E38" s="213">
        <v>86.56</v>
      </c>
      <c r="F38" s="213">
        <v>96.87</v>
      </c>
      <c r="G38" s="213">
        <v>102.34</v>
      </c>
      <c r="H38" s="76">
        <f t="shared" si="16"/>
        <v>5.646743057706205E-2</v>
      </c>
      <c r="I38" s="214">
        <f t="shared" si="11"/>
        <v>5.4699999999999989</v>
      </c>
      <c r="P38" s="19" t="s">
        <v>53</v>
      </c>
      <c r="Q38" s="213">
        <v>37.840000000000003</v>
      </c>
      <c r="R38" s="214">
        <v>53.16</v>
      </c>
      <c r="S38" s="214">
        <v>62.009999999999991</v>
      </c>
      <c r="T38" s="214">
        <v>69.75</v>
      </c>
      <c r="U38" s="214">
        <v>76.260000000000005</v>
      </c>
      <c r="V38" s="76">
        <f t="shared" si="12"/>
        <v>9.333333333333349E-2</v>
      </c>
      <c r="W38" s="214">
        <f t="shared" si="13"/>
        <v>6.5100000000000051</v>
      </c>
      <c r="AE38" s="19" t="s">
        <v>53</v>
      </c>
      <c r="AF38" s="216">
        <v>16610861.379999999</v>
      </c>
      <c r="AG38" s="217">
        <v>27747259.210000001</v>
      </c>
      <c r="AH38" s="217">
        <v>33481132.210000001</v>
      </c>
      <c r="AI38" s="217">
        <v>36544291.980000004</v>
      </c>
      <c r="AJ38" s="217">
        <v>39167854.120000005</v>
      </c>
      <c r="AK38" s="76">
        <f t="shared" si="14"/>
        <v>7.1791297569421486E-2</v>
      </c>
      <c r="AL38" s="53">
        <f t="shared" si="15"/>
        <v>2623562.1400000006</v>
      </c>
    </row>
    <row r="39" spans="2:39" x14ac:dyDescent="0.25">
      <c r="B39" s="19" t="s">
        <v>54</v>
      </c>
      <c r="C39" s="213">
        <v>98.71</v>
      </c>
      <c r="D39" s="213">
        <v>114.5</v>
      </c>
      <c r="E39" s="213">
        <v>129.22</v>
      </c>
      <c r="F39" s="213">
        <v>138.65</v>
      </c>
      <c r="G39" s="213">
        <v>118.45999999999998</v>
      </c>
      <c r="H39" s="76">
        <f t="shared" si="16"/>
        <v>-0.14561846375766341</v>
      </c>
      <c r="I39" s="214">
        <f t="shared" si="11"/>
        <v>-20.190000000000026</v>
      </c>
      <c r="P39" s="19" t="s">
        <v>54</v>
      </c>
      <c r="Q39" s="213">
        <v>53.72</v>
      </c>
      <c r="R39" s="214">
        <v>88.72</v>
      </c>
      <c r="S39" s="214">
        <v>109.01</v>
      </c>
      <c r="T39" s="214">
        <v>119.74</v>
      </c>
      <c r="U39" s="214">
        <v>101.6</v>
      </c>
      <c r="V39" s="76">
        <f t="shared" si="12"/>
        <v>-0.15149490562886259</v>
      </c>
      <c r="W39" s="214">
        <f t="shared" si="13"/>
        <v>-18.14</v>
      </c>
      <c r="AE39" s="19" t="s">
        <v>54</v>
      </c>
      <c r="AF39" s="216">
        <v>34127770.07</v>
      </c>
      <c r="AG39" s="217">
        <v>88124626.280000001</v>
      </c>
      <c r="AH39" s="217">
        <v>107150132.73</v>
      </c>
      <c r="AI39" s="217">
        <v>119099527.73999999</v>
      </c>
      <c r="AJ39" s="217">
        <v>101644173.95</v>
      </c>
      <c r="AK39" s="76">
        <f t="shared" si="14"/>
        <v>-0.14656106637220145</v>
      </c>
      <c r="AL39" s="53">
        <f t="shared" si="15"/>
        <v>-17455353.789999992</v>
      </c>
    </row>
    <row r="40" spans="2:39" x14ac:dyDescent="0.25">
      <c r="B40" s="23" t="s">
        <v>55</v>
      </c>
      <c r="C40" s="213">
        <v>74.28</v>
      </c>
      <c r="D40" s="213">
        <v>64.23</v>
      </c>
      <c r="E40" s="213">
        <v>69.86</v>
      </c>
      <c r="F40" s="213">
        <v>72.73</v>
      </c>
      <c r="G40" s="213">
        <v>77.06</v>
      </c>
      <c r="H40" s="76">
        <f t="shared" si="16"/>
        <v>5.9535267427471394E-2</v>
      </c>
      <c r="I40" s="214">
        <f t="shared" si="11"/>
        <v>4.3299999999999983</v>
      </c>
      <c r="P40" s="23" t="s">
        <v>55</v>
      </c>
      <c r="Q40" s="213">
        <v>29.35</v>
      </c>
      <c r="R40" s="214">
        <v>43.18</v>
      </c>
      <c r="S40" s="214">
        <v>54</v>
      </c>
      <c r="T40" s="214">
        <v>56.56</v>
      </c>
      <c r="U40" s="214">
        <v>58.49</v>
      </c>
      <c r="V40" s="76">
        <f t="shared" si="12"/>
        <v>3.4123055162659011E-2</v>
      </c>
      <c r="W40" s="214">
        <f t="shared" si="13"/>
        <v>1.9299999999999997</v>
      </c>
      <c r="AE40" s="23" t="s">
        <v>55</v>
      </c>
      <c r="AF40" s="216">
        <v>12828760.219999999</v>
      </c>
      <c r="AG40" s="217">
        <v>20416665.23</v>
      </c>
      <c r="AH40" s="217">
        <v>24141003.859999999</v>
      </c>
      <c r="AI40" s="217">
        <v>26190289.780000001</v>
      </c>
      <c r="AJ40" s="217">
        <v>27172923.780000001</v>
      </c>
      <c r="AK40" s="76">
        <f t="shared" si="14"/>
        <v>3.7519019768554873E-2</v>
      </c>
      <c r="AL40" s="53">
        <f t="shared" si="15"/>
        <v>982634</v>
      </c>
    </row>
    <row r="41" spans="2:39" x14ac:dyDescent="0.25">
      <c r="B41" s="103"/>
      <c r="C41" s="104"/>
      <c r="D41" s="104"/>
      <c r="E41" s="104"/>
      <c r="F41" s="104"/>
      <c r="G41" s="105"/>
      <c r="H41" s="104"/>
      <c r="I41" s="106"/>
      <c r="P41" s="103"/>
      <c r="Q41" s="104"/>
      <c r="R41" s="104"/>
      <c r="S41" s="104"/>
      <c r="T41" s="104"/>
      <c r="U41" s="105"/>
      <c r="V41" s="104"/>
      <c r="W41" s="106"/>
      <c r="AE41" s="103"/>
      <c r="AF41" s="103"/>
      <c r="AG41" s="103"/>
      <c r="AH41" s="103"/>
      <c r="AI41" s="104"/>
      <c r="AJ41" s="105"/>
      <c r="AK41" s="106"/>
      <c r="AL41" s="106"/>
    </row>
    <row r="42" spans="2:39" x14ac:dyDescent="0.25">
      <c r="B42" s="314" t="s">
        <v>57</v>
      </c>
      <c r="C42" s="314"/>
      <c r="D42" s="314"/>
      <c r="E42" s="314"/>
      <c r="F42" s="314"/>
      <c r="G42" s="314"/>
      <c r="H42" s="314"/>
      <c r="I42" s="107"/>
      <c r="P42" s="107" t="s">
        <v>57</v>
      </c>
      <c r="Q42" s="107"/>
      <c r="R42" s="107"/>
      <c r="S42" s="107"/>
      <c r="T42" s="107"/>
      <c r="U42" s="107"/>
      <c r="V42" s="107"/>
      <c r="W42" s="107"/>
      <c r="AE42" s="107" t="s">
        <v>57</v>
      </c>
      <c r="AF42" s="107"/>
      <c r="AG42" s="107"/>
      <c r="AH42" s="107"/>
      <c r="AI42" s="107"/>
      <c r="AJ42" s="107"/>
      <c r="AK42" s="107"/>
      <c r="AL42" s="107"/>
    </row>
    <row r="43" spans="2:39" ht="39" customHeight="1" x14ac:dyDescent="0.25">
      <c r="B43" s="290" t="s">
        <v>169</v>
      </c>
      <c r="C43" s="290"/>
      <c r="D43" s="290"/>
      <c r="E43" s="290"/>
      <c r="F43" s="290"/>
      <c r="G43" s="290"/>
      <c r="H43" s="290"/>
      <c r="P43" s="290" t="s">
        <v>170</v>
      </c>
      <c r="Q43" s="290"/>
      <c r="R43" s="290"/>
      <c r="S43" s="290"/>
      <c r="T43" s="290"/>
      <c r="U43" s="290"/>
      <c r="V43" s="290"/>
      <c r="W43" s="290"/>
      <c r="AE43" s="312" t="s">
        <v>171</v>
      </c>
      <c r="AF43" s="312"/>
      <c r="AG43" s="312"/>
      <c r="AH43" s="312"/>
      <c r="AI43" s="312"/>
      <c r="AJ43" s="312"/>
      <c r="AK43" s="312"/>
      <c r="AL43" s="312"/>
      <c r="AM43" s="312"/>
    </row>
    <row r="44" spans="2:39" ht="24" customHeight="1" x14ac:dyDescent="0.25">
      <c r="B44" s="290" t="s">
        <v>172</v>
      </c>
      <c r="C44" s="290"/>
      <c r="D44" s="290"/>
      <c r="E44" s="290"/>
      <c r="F44" s="290"/>
      <c r="G44" s="290"/>
      <c r="H44" s="290"/>
      <c r="P44" s="313" t="s">
        <v>173</v>
      </c>
      <c r="Q44" s="313"/>
      <c r="R44" s="313"/>
      <c r="S44" s="313"/>
      <c r="T44" s="313"/>
      <c r="U44" s="313"/>
      <c r="V44" s="313"/>
      <c r="W44" s="313"/>
      <c r="AF44" s="122"/>
      <c r="AG44" s="122"/>
    </row>
  </sheetData>
  <mergeCells count="18">
    <mergeCell ref="B42:H42"/>
    <mergeCell ref="B43:H43"/>
    <mergeCell ref="P43:W43"/>
    <mergeCell ref="AE43:AM43"/>
    <mergeCell ref="B44:H44"/>
    <mergeCell ref="P44:W44"/>
    <mergeCell ref="AE27:AK27"/>
    <mergeCell ref="B5:N5"/>
    <mergeCell ref="P5:AB5"/>
    <mergeCell ref="AD5:AS5"/>
    <mergeCell ref="B21:N21"/>
    <mergeCell ref="P21:W21"/>
    <mergeCell ref="AD21:AT21"/>
    <mergeCell ref="B22:N22"/>
    <mergeCell ref="P22:W22"/>
    <mergeCell ref="B23:N23"/>
    <mergeCell ref="B27:H27"/>
    <mergeCell ref="P27:W27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5A16B-7C26-4C1D-BC4A-3BD69C3F4DA0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84" t="str">
        <f>CONCATENATE("Tarifa media diaria (ADR) Tenerife y municipios")</f>
        <v>Tarifa media diaria (ADR) Tenerife y municipios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2:17" ht="6.95" customHeight="1" thickBot="1" x14ac:dyDescent="0.3">
      <c r="B4" s="85"/>
      <c r="C4" s="85"/>
      <c r="D4" s="85"/>
      <c r="E4" s="85"/>
      <c r="F4" s="85"/>
      <c r="G4" s="85"/>
      <c r="H4" s="85"/>
      <c r="I4" s="86"/>
      <c r="J4" s="85"/>
      <c r="K4" s="85"/>
      <c r="L4" s="85"/>
      <c r="M4" s="85"/>
      <c r="N4" s="85"/>
      <c r="O4" s="86"/>
      <c r="P4" s="86"/>
      <c r="Q4" s="86"/>
    </row>
    <row r="5" spans="2:17" ht="59.25" customHeight="1" x14ac:dyDescent="0.25">
      <c r="B5" s="90"/>
      <c r="C5" s="14">
        <v>2020</v>
      </c>
      <c r="D5" s="14">
        <v>2021</v>
      </c>
      <c r="E5" s="14">
        <v>2022</v>
      </c>
      <c r="F5" s="14">
        <v>2023</v>
      </c>
      <c r="G5" s="14">
        <v>2024</v>
      </c>
      <c r="H5" s="14">
        <v>2025</v>
      </c>
      <c r="I5" s="91" t="str">
        <f>CONCATENATE("var. ",RIGHT(H5,2),"/",RIGHT(G5,2))</f>
        <v>var. 25/24</v>
      </c>
      <c r="J5" s="91" t="str">
        <f>CONCATENATE("dif. ",RIGHT(H5,2),"/",RIGHT(G5,2))</f>
        <v>dif. 25/24</v>
      </c>
      <c r="K5" s="92" t="s">
        <v>234</v>
      </c>
      <c r="L5" s="92" t="s">
        <v>235</v>
      </c>
      <c r="M5" s="92" t="s">
        <v>236</v>
      </c>
      <c r="N5" s="92" t="s">
        <v>237</v>
      </c>
      <c r="O5" s="92" t="s">
        <v>238</v>
      </c>
      <c r="P5" s="91" t="str">
        <f>CONCATENATE("var. ",RIGHT(O5,2),"/",RIGHT(N5,2))</f>
        <v>var. 26/25</v>
      </c>
      <c r="Q5" s="91" t="str">
        <f>CONCATENATE("dif. ",RIGHT(O5,2),"/",RIGHT(N5,2))</f>
        <v>dif. 26/25</v>
      </c>
    </row>
    <row r="6" spans="2:17" x14ac:dyDescent="0.25">
      <c r="B6" s="93" t="s">
        <v>45</v>
      </c>
      <c r="C6" s="221">
        <v>95.01</v>
      </c>
      <c r="D6" s="221">
        <v>99.07</v>
      </c>
      <c r="E6" s="221">
        <v>105.64</v>
      </c>
      <c r="F6" s="221">
        <v>114.04</v>
      </c>
      <c r="G6" s="221">
        <v>125.24</v>
      </c>
      <c r="H6" s="221">
        <v>132.82</v>
      </c>
      <c r="I6" s="95">
        <f t="shared" ref="I6:I51" si="0">IFERROR(H6/G6-1,"-")</f>
        <v>6.052379431491528E-2</v>
      </c>
      <c r="J6" s="221">
        <f t="shared" ref="J6:J51" si="1">IFERROR(H6-G6,"-")</f>
        <v>7.5799999999999983</v>
      </c>
      <c r="K6" s="222">
        <v>2418.92</v>
      </c>
      <c r="L6" s="222">
        <v>2739.2899999999995</v>
      </c>
      <c r="M6" s="222">
        <v>2876</v>
      </c>
      <c r="N6" s="222">
        <v>3037.9399999999991</v>
      </c>
      <c r="O6" s="222">
        <v>3061.33</v>
      </c>
      <c r="P6" s="95">
        <f t="shared" ref="P6:P51" si="2">IFERROR(O6/N6-1,"-")</f>
        <v>7.6992962336321913E-3</v>
      </c>
      <c r="Q6" s="221">
        <f t="shared" ref="Q6:Q51" si="3">IFERROR(O6-N6,"-")</f>
        <v>23.390000000000782</v>
      </c>
    </row>
    <row r="7" spans="2:17" x14ac:dyDescent="0.25">
      <c r="B7" s="96" t="s">
        <v>62</v>
      </c>
      <c r="C7" s="223">
        <v>103.69</v>
      </c>
      <c r="D7" s="223">
        <v>107.45</v>
      </c>
      <c r="E7" s="223">
        <v>114.17</v>
      </c>
      <c r="F7" s="223">
        <v>123.63</v>
      </c>
      <c r="G7" s="223">
        <v>135.81</v>
      </c>
      <c r="H7" s="223">
        <v>143.28</v>
      </c>
      <c r="I7" s="98">
        <f t="shared" si="0"/>
        <v>5.5003313452617553E-2</v>
      </c>
      <c r="J7" s="223">
        <f t="shared" si="1"/>
        <v>7.4699999999999989</v>
      </c>
      <c r="K7" s="224">
        <v>110.94</v>
      </c>
      <c r="L7" s="224">
        <v>123.12</v>
      </c>
      <c r="M7" s="224">
        <v>131.66999999999999</v>
      </c>
      <c r="N7" s="224">
        <v>137.68</v>
      </c>
      <c r="O7" s="224">
        <v>141.61000000000001</v>
      </c>
      <c r="P7" s="98">
        <f t="shared" si="2"/>
        <v>2.8544450900639173E-2</v>
      </c>
      <c r="Q7" s="223">
        <f t="shared" si="3"/>
        <v>3.9300000000000068</v>
      </c>
    </row>
    <row r="8" spans="2:17" x14ac:dyDescent="0.25">
      <c r="B8" s="99" t="s">
        <v>63</v>
      </c>
      <c r="C8" s="225">
        <v>113.97</v>
      </c>
      <c r="D8" s="225">
        <v>117.1</v>
      </c>
      <c r="E8" s="225">
        <v>123.96</v>
      </c>
      <c r="F8" s="225">
        <v>133.49</v>
      </c>
      <c r="G8" s="225">
        <v>146.25</v>
      </c>
      <c r="H8" s="225">
        <v>154.19</v>
      </c>
      <c r="I8" s="100">
        <f t="shared" si="0"/>
        <v>5.4290598290598346E-2</v>
      </c>
      <c r="J8" s="225">
        <f t="shared" si="1"/>
        <v>7.9399999999999977</v>
      </c>
      <c r="K8" s="226">
        <v>120.05</v>
      </c>
      <c r="L8" s="226">
        <v>132.37</v>
      </c>
      <c r="M8" s="226">
        <v>141.26</v>
      </c>
      <c r="N8" s="226">
        <v>147.79</v>
      </c>
      <c r="O8" s="226">
        <v>149.81</v>
      </c>
      <c r="P8" s="100">
        <f t="shared" si="2"/>
        <v>1.366804249272624E-2</v>
      </c>
      <c r="Q8" s="225">
        <f t="shared" si="3"/>
        <v>2.0200000000000102</v>
      </c>
    </row>
    <row r="9" spans="2:17" x14ac:dyDescent="0.25">
      <c r="B9" s="99" t="s">
        <v>70</v>
      </c>
      <c r="C9" s="225">
        <v>59.3</v>
      </c>
      <c r="D9" s="225">
        <v>59.54</v>
      </c>
      <c r="E9" s="225">
        <v>65.25</v>
      </c>
      <c r="F9" s="225">
        <v>72.2</v>
      </c>
      <c r="G9" s="225">
        <v>79.78</v>
      </c>
      <c r="H9" s="225">
        <v>84.79</v>
      </c>
      <c r="I9" s="100">
        <f t="shared" si="0"/>
        <v>6.2797693657558273E-2</v>
      </c>
      <c r="J9" s="225">
        <f t="shared" si="1"/>
        <v>5.0100000000000051</v>
      </c>
      <c r="K9" s="226">
        <v>63.22</v>
      </c>
      <c r="L9" s="226">
        <v>69.36</v>
      </c>
      <c r="M9" s="226">
        <v>77.56</v>
      </c>
      <c r="N9" s="226">
        <v>82.13</v>
      </c>
      <c r="O9" s="226">
        <v>92.11</v>
      </c>
      <c r="P9" s="100">
        <f t="shared" si="2"/>
        <v>0.12151467186168285</v>
      </c>
      <c r="Q9" s="225">
        <f t="shared" si="3"/>
        <v>9.980000000000004</v>
      </c>
    </row>
    <row r="10" spans="2:17" x14ac:dyDescent="0.25">
      <c r="B10" s="96" t="s">
        <v>65</v>
      </c>
      <c r="C10" s="223">
        <v>69.31</v>
      </c>
      <c r="D10" s="223">
        <v>67.12</v>
      </c>
      <c r="E10" s="223">
        <v>73.209999999999994</v>
      </c>
      <c r="F10" s="223">
        <v>78.930000000000007</v>
      </c>
      <c r="G10" s="223">
        <v>86.93</v>
      </c>
      <c r="H10" s="223">
        <v>96.43</v>
      </c>
      <c r="I10" s="98">
        <f t="shared" si="0"/>
        <v>0.10928333141608193</v>
      </c>
      <c r="J10" s="223">
        <f t="shared" si="1"/>
        <v>9.5</v>
      </c>
      <c r="K10" s="224">
        <v>74.989999999999995</v>
      </c>
      <c r="L10" s="224">
        <v>82.51</v>
      </c>
      <c r="M10" s="224">
        <v>87.72</v>
      </c>
      <c r="N10" s="224">
        <v>99.57</v>
      </c>
      <c r="O10" s="224">
        <v>101.09</v>
      </c>
      <c r="P10" s="98">
        <f t="shared" si="2"/>
        <v>1.5265642261725443E-2</v>
      </c>
      <c r="Q10" s="223">
        <f t="shared" si="3"/>
        <v>1.5200000000000102</v>
      </c>
    </row>
    <row r="11" spans="2:17" x14ac:dyDescent="0.25">
      <c r="B11" s="93" t="s">
        <v>46</v>
      </c>
      <c r="C11" s="227">
        <v>119.42</v>
      </c>
      <c r="D11" s="227">
        <v>126.49</v>
      </c>
      <c r="E11" s="227">
        <v>131.02000000000001</v>
      </c>
      <c r="F11" s="227">
        <v>138.91</v>
      </c>
      <c r="G11" s="227">
        <v>151.52000000000001</v>
      </c>
      <c r="H11" s="227">
        <v>159.22</v>
      </c>
      <c r="I11" s="102">
        <f t="shared" si="0"/>
        <v>5.081837381203802E-2</v>
      </c>
      <c r="J11" s="227">
        <f t="shared" si="1"/>
        <v>7.6999999999999886</v>
      </c>
      <c r="K11" s="228">
        <v>127.32</v>
      </c>
      <c r="L11" s="228">
        <v>135.82</v>
      </c>
      <c r="M11" s="228">
        <v>143.27000000000001</v>
      </c>
      <c r="N11" s="228">
        <v>151.38</v>
      </c>
      <c r="O11" s="228">
        <v>156.59</v>
      </c>
      <c r="P11" s="102">
        <f t="shared" si="2"/>
        <v>3.4416699696129038E-2</v>
      </c>
      <c r="Q11" s="227">
        <f t="shared" si="3"/>
        <v>5.210000000000008</v>
      </c>
    </row>
    <row r="12" spans="2:17" x14ac:dyDescent="0.25">
      <c r="B12" s="96" t="s">
        <v>62</v>
      </c>
      <c r="C12" s="223">
        <v>130.44999999999999</v>
      </c>
      <c r="D12" s="223">
        <v>134.97</v>
      </c>
      <c r="E12" s="223">
        <v>140.36000000000001</v>
      </c>
      <c r="F12" s="223">
        <v>150.29</v>
      </c>
      <c r="G12" s="223">
        <v>166.01</v>
      </c>
      <c r="H12" s="223">
        <v>174.46</v>
      </c>
      <c r="I12" s="98">
        <f t="shared" si="0"/>
        <v>5.0900548159749537E-2</v>
      </c>
      <c r="J12" s="223">
        <f t="shared" si="1"/>
        <v>8.4500000000000171</v>
      </c>
      <c r="K12" s="224">
        <v>135.16999999999999</v>
      </c>
      <c r="L12" s="224">
        <v>145.16</v>
      </c>
      <c r="M12" s="224">
        <v>155.96</v>
      </c>
      <c r="N12" s="224">
        <v>164.03</v>
      </c>
      <c r="O12" s="224">
        <v>170.35</v>
      </c>
      <c r="P12" s="98">
        <f t="shared" si="2"/>
        <v>3.8529537279765824E-2</v>
      </c>
      <c r="Q12" s="223">
        <f t="shared" si="3"/>
        <v>6.3199999999999932</v>
      </c>
    </row>
    <row r="13" spans="2:17" x14ac:dyDescent="0.25">
      <c r="B13" s="99" t="s">
        <v>63</v>
      </c>
      <c r="C13" s="225">
        <v>138.85</v>
      </c>
      <c r="D13" s="225">
        <v>143.38999999999999</v>
      </c>
      <c r="E13" s="225">
        <v>150.34</v>
      </c>
      <c r="F13" s="225">
        <v>160.88</v>
      </c>
      <c r="G13" s="225">
        <v>176.82</v>
      </c>
      <c r="H13" s="225">
        <v>186.36</v>
      </c>
      <c r="I13" s="100">
        <f t="shared" si="0"/>
        <v>5.3953172718018472E-2</v>
      </c>
      <c r="J13" s="225">
        <f t="shared" si="1"/>
        <v>9.5400000000000205</v>
      </c>
      <c r="K13" s="226">
        <v>145.16999999999999</v>
      </c>
      <c r="L13" s="226">
        <v>155.93</v>
      </c>
      <c r="M13" s="226">
        <v>166.23</v>
      </c>
      <c r="N13" s="226">
        <v>175.6</v>
      </c>
      <c r="O13" s="226">
        <v>176.96</v>
      </c>
      <c r="P13" s="100">
        <f t="shared" si="2"/>
        <v>7.7448747152619735E-3</v>
      </c>
      <c r="Q13" s="225">
        <f t="shared" si="3"/>
        <v>1.3600000000000136</v>
      </c>
    </row>
    <row r="14" spans="2:17" x14ac:dyDescent="0.25">
      <c r="B14" s="99" t="s">
        <v>70</v>
      </c>
      <c r="C14" s="225">
        <v>65.55</v>
      </c>
      <c r="D14" s="225">
        <v>60.97</v>
      </c>
      <c r="E14" s="225">
        <v>62.16</v>
      </c>
      <c r="F14" s="225">
        <v>62.3</v>
      </c>
      <c r="G14" s="225">
        <v>64.11</v>
      </c>
      <c r="H14" s="225">
        <v>71.02</v>
      </c>
      <c r="I14" s="100">
        <f t="shared" si="0"/>
        <v>0.10778349711433477</v>
      </c>
      <c r="J14" s="225">
        <f t="shared" si="1"/>
        <v>6.9099999999999966</v>
      </c>
      <c r="K14" s="226">
        <v>57.27</v>
      </c>
      <c r="L14" s="226">
        <v>53.58</v>
      </c>
      <c r="M14" s="226">
        <v>55.7</v>
      </c>
      <c r="N14" s="226">
        <v>66.42</v>
      </c>
      <c r="O14" s="226">
        <v>98.53</v>
      </c>
      <c r="P14" s="100">
        <f t="shared" si="2"/>
        <v>0.4834387232761217</v>
      </c>
      <c r="Q14" s="225">
        <f t="shared" si="3"/>
        <v>32.11</v>
      </c>
    </row>
    <row r="15" spans="2:17" x14ac:dyDescent="0.25">
      <c r="B15" s="96" t="s">
        <v>65</v>
      </c>
      <c r="C15" s="223">
        <v>76.66</v>
      </c>
      <c r="D15" s="223">
        <v>74.13</v>
      </c>
      <c r="E15" s="223">
        <v>78.930000000000007</v>
      </c>
      <c r="F15" s="223">
        <v>83.06</v>
      </c>
      <c r="G15" s="223">
        <v>86.47</v>
      </c>
      <c r="H15" s="223">
        <v>96.49</v>
      </c>
      <c r="I15" s="98">
        <f t="shared" si="0"/>
        <v>0.11587833930843061</v>
      </c>
      <c r="J15" s="223">
        <f t="shared" si="1"/>
        <v>10.019999999999996</v>
      </c>
      <c r="K15" s="224">
        <v>82.86</v>
      </c>
      <c r="L15" s="224">
        <v>90.31</v>
      </c>
      <c r="M15" s="224">
        <v>86.66</v>
      </c>
      <c r="N15" s="224">
        <v>97.97</v>
      </c>
      <c r="O15" s="224">
        <v>105.63</v>
      </c>
      <c r="P15" s="98">
        <f t="shared" si="2"/>
        <v>7.8187200163315262E-2</v>
      </c>
      <c r="Q15" s="223">
        <f t="shared" si="3"/>
        <v>7.6599999999999966</v>
      </c>
    </row>
    <row r="16" spans="2:17" x14ac:dyDescent="0.25">
      <c r="B16" s="93" t="s">
        <v>53</v>
      </c>
      <c r="C16" s="227">
        <v>64.19</v>
      </c>
      <c r="D16" s="227">
        <v>68.989999999999995</v>
      </c>
      <c r="E16" s="227">
        <v>76.34</v>
      </c>
      <c r="F16" s="227">
        <v>86.56</v>
      </c>
      <c r="G16" s="227">
        <v>96.87</v>
      </c>
      <c r="H16" s="227">
        <v>102.34</v>
      </c>
      <c r="I16" s="102">
        <f t="shared" si="0"/>
        <v>5.646743057706205E-2</v>
      </c>
      <c r="J16" s="227">
        <f t="shared" si="1"/>
        <v>5.4699999999999989</v>
      </c>
      <c r="K16" s="228">
        <v>72.41</v>
      </c>
      <c r="L16" s="228">
        <v>77.930000000000007</v>
      </c>
      <c r="M16" s="228">
        <v>85.57</v>
      </c>
      <c r="N16" s="228">
        <v>89.95</v>
      </c>
      <c r="O16" s="228">
        <v>97.55</v>
      </c>
      <c r="P16" s="102">
        <f t="shared" si="2"/>
        <v>8.4491384102278966E-2</v>
      </c>
      <c r="Q16" s="227">
        <f t="shared" si="3"/>
        <v>7.5999999999999943</v>
      </c>
    </row>
    <row r="17" spans="2:17" x14ac:dyDescent="0.25">
      <c r="B17" s="96" t="s">
        <v>62</v>
      </c>
      <c r="C17" s="223">
        <v>64.19</v>
      </c>
      <c r="D17" s="223">
        <v>68.989999999999995</v>
      </c>
      <c r="E17" s="223">
        <v>76.34</v>
      </c>
      <c r="F17" s="223">
        <v>85.99</v>
      </c>
      <c r="G17" s="223">
        <v>96.87</v>
      </c>
      <c r="H17" s="223">
        <v>102.34</v>
      </c>
      <c r="I17" s="98">
        <f t="shared" si="0"/>
        <v>5.646743057706205E-2</v>
      </c>
      <c r="J17" s="223">
        <f t="shared" si="1"/>
        <v>5.4699999999999989</v>
      </c>
      <c r="K17" s="224">
        <v>72.41</v>
      </c>
      <c r="L17" s="224">
        <v>77.930000000000007</v>
      </c>
      <c r="M17" s="224">
        <v>85.57</v>
      </c>
      <c r="N17" s="224">
        <v>89.95</v>
      </c>
      <c r="O17" s="224">
        <v>97.55</v>
      </c>
      <c r="P17" s="98">
        <f t="shared" si="2"/>
        <v>8.4491384102278966E-2</v>
      </c>
      <c r="Q17" s="223">
        <f t="shared" si="3"/>
        <v>7.5999999999999943</v>
      </c>
    </row>
    <row r="18" spans="2:17" x14ac:dyDescent="0.25">
      <c r="B18" s="99" t="s">
        <v>68</v>
      </c>
      <c r="C18" s="225">
        <v>76.319999999999993</v>
      </c>
      <c r="D18" s="225">
        <v>76.47</v>
      </c>
      <c r="E18" s="225">
        <v>90.03</v>
      </c>
      <c r="F18" s="225">
        <v>100.71</v>
      </c>
      <c r="G18" s="225">
        <v>115.08</v>
      </c>
      <c r="H18" s="225">
        <v>119.72</v>
      </c>
      <c r="I18" s="100">
        <f t="shared" si="0"/>
        <v>4.0319777546054869E-2</v>
      </c>
      <c r="J18" s="225">
        <f t="shared" si="1"/>
        <v>4.6400000000000006</v>
      </c>
      <c r="K18" s="226">
        <v>84.89</v>
      </c>
      <c r="L18" s="226">
        <v>90.31</v>
      </c>
      <c r="M18" s="226">
        <v>99.5</v>
      </c>
      <c r="N18" s="226">
        <v>102.28</v>
      </c>
      <c r="O18" s="226">
        <v>107.36</v>
      </c>
      <c r="P18" s="100">
        <f t="shared" si="2"/>
        <v>4.9667579194368372E-2</v>
      </c>
      <c r="Q18" s="225">
        <f t="shared" si="3"/>
        <v>5.0799999999999983</v>
      </c>
    </row>
    <row r="19" spans="2:17" x14ac:dyDescent="0.25">
      <c r="B19" s="99" t="s">
        <v>177</v>
      </c>
      <c r="C19" s="225">
        <v>52.19</v>
      </c>
      <c r="D19" s="225">
        <v>57.98</v>
      </c>
      <c r="E19" s="225">
        <v>57.94</v>
      </c>
      <c r="F19" s="225">
        <v>66.849999999999994</v>
      </c>
      <c r="G19" s="225">
        <v>70.069999999999993</v>
      </c>
      <c r="H19" s="225">
        <v>70.59</v>
      </c>
      <c r="I19" s="100">
        <f t="shared" si="0"/>
        <v>7.4211502782932648E-3</v>
      </c>
      <c r="J19" s="225">
        <f t="shared" si="1"/>
        <v>0.52000000000001023</v>
      </c>
      <c r="K19" s="226">
        <v>55.23</v>
      </c>
      <c r="L19" s="226">
        <v>61.37</v>
      </c>
      <c r="M19" s="226">
        <v>65.78</v>
      </c>
      <c r="N19" s="226">
        <v>63.7</v>
      </c>
      <c r="O19" s="226">
        <v>71.55</v>
      </c>
      <c r="P19" s="100">
        <f t="shared" si="2"/>
        <v>0.12323390894819464</v>
      </c>
      <c r="Q19" s="225">
        <f t="shared" si="3"/>
        <v>7.8499999999999943</v>
      </c>
    </row>
    <row r="20" spans="2:17" x14ac:dyDescent="0.25">
      <c r="B20" s="96" t="s">
        <v>65</v>
      </c>
      <c r="C20" s="223">
        <v>0</v>
      </c>
      <c r="D20" s="223">
        <v>0</v>
      </c>
      <c r="E20" s="223">
        <v>0</v>
      </c>
      <c r="F20" s="223">
        <v>0</v>
      </c>
      <c r="G20" s="223">
        <v>0</v>
      </c>
      <c r="H20" s="223">
        <v>0</v>
      </c>
      <c r="I20" s="98" t="str">
        <f t="shared" si="0"/>
        <v>-</v>
      </c>
      <c r="J20" s="223">
        <f t="shared" si="1"/>
        <v>0</v>
      </c>
      <c r="K20" s="224" t="s">
        <v>239</v>
      </c>
      <c r="L20" s="224" t="s">
        <v>239</v>
      </c>
      <c r="M20" s="224" t="s">
        <v>239</v>
      </c>
      <c r="N20" s="224" t="s">
        <v>239</v>
      </c>
      <c r="O20" s="224" t="s">
        <v>239</v>
      </c>
      <c r="P20" s="98" t="str">
        <f t="shared" si="2"/>
        <v>-</v>
      </c>
      <c r="Q20" s="223" t="str">
        <f t="shared" si="3"/>
        <v>-</v>
      </c>
    </row>
    <row r="21" spans="2:17" x14ac:dyDescent="0.25">
      <c r="B21" s="93" t="s">
        <v>48</v>
      </c>
      <c r="C21" s="227">
        <v>70.819999999999993</v>
      </c>
      <c r="D21" s="227">
        <v>66.41</v>
      </c>
      <c r="E21" s="227">
        <v>77.45</v>
      </c>
      <c r="F21" s="227">
        <v>80.180000000000007</v>
      </c>
      <c r="G21" s="227">
        <v>87.94</v>
      </c>
      <c r="H21" s="227">
        <v>99.82</v>
      </c>
      <c r="I21" s="102">
        <f t="shared" si="0"/>
        <v>0.1350921082556289</v>
      </c>
      <c r="J21" s="227">
        <f t="shared" si="1"/>
        <v>11.879999999999995</v>
      </c>
      <c r="K21" s="228">
        <v>82.68</v>
      </c>
      <c r="L21" s="228">
        <v>80.44</v>
      </c>
      <c r="M21" s="228">
        <v>94.54</v>
      </c>
      <c r="N21" s="228">
        <v>98.06</v>
      </c>
      <c r="O21" s="228">
        <v>85.02</v>
      </c>
      <c r="P21" s="102">
        <f t="shared" si="2"/>
        <v>-0.1329798082806446</v>
      </c>
      <c r="Q21" s="227">
        <f t="shared" si="3"/>
        <v>-13.040000000000006</v>
      </c>
    </row>
    <row r="22" spans="2:17" x14ac:dyDescent="0.25">
      <c r="B22" s="96" t="s">
        <v>62</v>
      </c>
      <c r="C22" s="223">
        <v>68.510000000000005</v>
      </c>
      <c r="D22" s="223">
        <v>66.41</v>
      </c>
      <c r="E22" s="223">
        <v>77.510000000000005</v>
      </c>
      <c r="F22" s="223">
        <v>80.36</v>
      </c>
      <c r="G22" s="223">
        <v>88.03</v>
      </c>
      <c r="H22" s="223">
        <v>99.96</v>
      </c>
      <c r="I22" s="98">
        <f t="shared" si="0"/>
        <v>0.13552198114279213</v>
      </c>
      <c r="J22" s="223">
        <f t="shared" si="1"/>
        <v>11.929999999999993</v>
      </c>
      <c r="K22" s="224">
        <v>82.68</v>
      </c>
      <c r="L22" s="224">
        <v>80.66</v>
      </c>
      <c r="M22" s="224">
        <v>94.83</v>
      </c>
      <c r="N22" s="224">
        <v>98.2</v>
      </c>
      <c r="O22" s="224">
        <v>84.97</v>
      </c>
      <c r="P22" s="98">
        <f t="shared" si="2"/>
        <v>-0.134725050916497</v>
      </c>
      <c r="Q22" s="223">
        <f t="shared" si="3"/>
        <v>-13.230000000000004</v>
      </c>
    </row>
    <row r="23" spans="2:17" x14ac:dyDescent="0.25">
      <c r="B23" s="96" t="s">
        <v>65</v>
      </c>
      <c r="C23" s="223">
        <v>0</v>
      </c>
      <c r="D23" s="223">
        <v>0</v>
      </c>
      <c r="E23" s="223">
        <v>0</v>
      </c>
      <c r="F23" s="223">
        <v>0</v>
      </c>
      <c r="G23" s="223">
        <v>0</v>
      </c>
      <c r="H23" s="223">
        <v>0</v>
      </c>
      <c r="I23" s="98" t="str">
        <f t="shared" si="0"/>
        <v>-</v>
      </c>
      <c r="J23" s="223">
        <f t="shared" si="1"/>
        <v>0</v>
      </c>
      <c r="K23" s="224">
        <v>0</v>
      </c>
      <c r="L23" s="224">
        <v>0</v>
      </c>
      <c r="M23" s="224">
        <v>0</v>
      </c>
      <c r="N23" s="224">
        <v>0</v>
      </c>
      <c r="O23" s="224">
        <v>0</v>
      </c>
      <c r="P23" s="98" t="str">
        <f t="shared" si="2"/>
        <v>-</v>
      </c>
      <c r="Q23" s="223">
        <f t="shared" si="3"/>
        <v>0</v>
      </c>
    </row>
    <row r="24" spans="2:17" x14ac:dyDescent="0.25">
      <c r="B24" s="93" t="s">
        <v>49</v>
      </c>
      <c r="C24" s="227">
        <v>134.75</v>
      </c>
      <c r="D24" s="227">
        <v>154.08000000000001</v>
      </c>
      <c r="E24" s="227">
        <v>185.18</v>
      </c>
      <c r="F24" s="227">
        <v>211.21</v>
      </c>
      <c r="G24" s="227">
        <v>199.41</v>
      </c>
      <c r="H24" s="227">
        <v>220.58</v>
      </c>
      <c r="I24" s="102">
        <f t="shared" si="0"/>
        <v>0.10616318138508607</v>
      </c>
      <c r="J24" s="227">
        <f t="shared" si="1"/>
        <v>21.170000000000016</v>
      </c>
      <c r="K24" s="228">
        <v>133.82</v>
      </c>
      <c r="L24" s="228">
        <v>227.17</v>
      </c>
      <c r="M24" s="228">
        <v>234.03</v>
      </c>
      <c r="N24" s="228">
        <v>193.92</v>
      </c>
      <c r="O24" s="228">
        <v>218.97</v>
      </c>
      <c r="P24" s="102">
        <f t="shared" si="2"/>
        <v>0.12917698019801982</v>
      </c>
      <c r="Q24" s="227">
        <f t="shared" si="3"/>
        <v>25.050000000000011</v>
      </c>
    </row>
    <row r="25" spans="2:17" x14ac:dyDescent="0.25">
      <c r="B25" s="96" t="s">
        <v>62</v>
      </c>
      <c r="C25" s="223">
        <v>134.66999999999999</v>
      </c>
      <c r="D25" s="223">
        <v>151.52000000000001</v>
      </c>
      <c r="E25" s="223">
        <v>180.18</v>
      </c>
      <c r="F25" s="223">
        <v>206.52</v>
      </c>
      <c r="G25" s="223">
        <v>205.17</v>
      </c>
      <c r="H25" s="223">
        <v>231.5</v>
      </c>
      <c r="I25" s="98">
        <f t="shared" si="0"/>
        <v>0.12833260223229526</v>
      </c>
      <c r="J25" s="223">
        <f t="shared" si="1"/>
        <v>26.330000000000013</v>
      </c>
      <c r="K25" s="224">
        <v>124.54</v>
      </c>
      <c r="L25" s="224">
        <v>223.25</v>
      </c>
      <c r="M25" s="224">
        <v>234.03</v>
      </c>
      <c r="N25" s="224">
        <v>201.08</v>
      </c>
      <c r="O25" s="224">
        <v>228.13</v>
      </c>
      <c r="P25" s="98">
        <f t="shared" si="2"/>
        <v>0.13452357270738013</v>
      </c>
      <c r="Q25" s="223">
        <f t="shared" si="3"/>
        <v>27.049999999999983</v>
      </c>
    </row>
    <row r="26" spans="2:17" x14ac:dyDescent="0.25">
      <c r="B26" s="99" t="s">
        <v>63</v>
      </c>
      <c r="C26" s="225">
        <v>0</v>
      </c>
      <c r="D26" s="225">
        <v>0</v>
      </c>
      <c r="E26" s="225">
        <v>0</v>
      </c>
      <c r="F26" s="225">
        <v>0</v>
      </c>
      <c r="G26" s="225">
        <v>0</v>
      </c>
      <c r="H26" s="225">
        <v>0</v>
      </c>
      <c r="I26" s="100" t="str">
        <f t="shared" si="0"/>
        <v>-</v>
      </c>
      <c r="J26" s="225">
        <f t="shared" si="1"/>
        <v>0</v>
      </c>
      <c r="K26" s="226">
        <v>0</v>
      </c>
      <c r="L26" s="226">
        <v>223.25</v>
      </c>
      <c r="M26" s="226">
        <v>0</v>
      </c>
      <c r="N26" s="226">
        <v>0</v>
      </c>
      <c r="O26" s="226">
        <v>0</v>
      </c>
      <c r="P26" s="100" t="str">
        <f t="shared" si="2"/>
        <v>-</v>
      </c>
      <c r="Q26" s="225">
        <f t="shared" si="3"/>
        <v>0</v>
      </c>
    </row>
    <row r="27" spans="2:17" x14ac:dyDescent="0.25">
      <c r="B27" s="99" t="s">
        <v>70</v>
      </c>
      <c r="C27" s="225">
        <v>0</v>
      </c>
      <c r="D27" s="225">
        <v>0</v>
      </c>
      <c r="E27" s="225">
        <v>0</v>
      </c>
      <c r="F27" s="225">
        <v>0</v>
      </c>
      <c r="G27" s="225">
        <v>0</v>
      </c>
      <c r="H27" s="225">
        <v>0</v>
      </c>
      <c r="I27" s="100" t="str">
        <f t="shared" si="0"/>
        <v>-</v>
      </c>
      <c r="J27" s="225">
        <f t="shared" si="1"/>
        <v>0</v>
      </c>
      <c r="K27" s="226">
        <v>0</v>
      </c>
      <c r="L27" s="226">
        <v>0</v>
      </c>
      <c r="M27" s="226">
        <v>0</v>
      </c>
      <c r="N27" s="226">
        <v>0</v>
      </c>
      <c r="O27" s="226">
        <v>0</v>
      </c>
      <c r="P27" s="100" t="str">
        <f t="shared" si="2"/>
        <v>-</v>
      </c>
      <c r="Q27" s="225">
        <f t="shared" si="3"/>
        <v>0</v>
      </c>
    </row>
    <row r="28" spans="2:17" x14ac:dyDescent="0.25">
      <c r="B28" s="93" t="s">
        <v>50</v>
      </c>
      <c r="C28" s="227">
        <v>53.52</v>
      </c>
      <c r="D28" s="227">
        <v>51.25</v>
      </c>
      <c r="E28" s="227">
        <v>59.12</v>
      </c>
      <c r="F28" s="227">
        <v>65.930000000000007</v>
      </c>
      <c r="G28" s="227">
        <v>74.61</v>
      </c>
      <c r="H28" s="227">
        <v>82.59</v>
      </c>
      <c r="I28" s="102">
        <f t="shared" si="0"/>
        <v>0.1069561720948935</v>
      </c>
      <c r="J28" s="227">
        <f t="shared" si="1"/>
        <v>7.980000000000004</v>
      </c>
      <c r="K28" s="228">
        <v>60</v>
      </c>
      <c r="L28" s="228">
        <v>67.540000000000006</v>
      </c>
      <c r="M28" s="228">
        <v>72.59</v>
      </c>
      <c r="N28" s="228">
        <v>83.48</v>
      </c>
      <c r="O28" s="228">
        <v>85.63</v>
      </c>
      <c r="P28" s="102">
        <f t="shared" si="2"/>
        <v>2.5754671777671101E-2</v>
      </c>
      <c r="Q28" s="227">
        <f t="shared" si="3"/>
        <v>2.1499999999999915</v>
      </c>
    </row>
    <row r="29" spans="2:17" x14ac:dyDescent="0.25">
      <c r="B29" s="96" t="s">
        <v>62</v>
      </c>
      <c r="C29" s="223">
        <v>56.97</v>
      </c>
      <c r="D29" s="223">
        <v>54.03</v>
      </c>
      <c r="E29" s="223">
        <v>62.9</v>
      </c>
      <c r="F29" s="223">
        <v>70.19</v>
      </c>
      <c r="G29" s="223">
        <v>78.77</v>
      </c>
      <c r="H29" s="223">
        <v>88.12</v>
      </c>
      <c r="I29" s="98">
        <f t="shared" si="0"/>
        <v>0.11870001269518871</v>
      </c>
      <c r="J29" s="223">
        <f t="shared" si="1"/>
        <v>9.3500000000000085</v>
      </c>
      <c r="K29" s="224">
        <v>63.64</v>
      </c>
      <c r="L29" s="224">
        <v>72.739999999999995</v>
      </c>
      <c r="M29" s="224">
        <v>76.959999999999994</v>
      </c>
      <c r="N29" s="224">
        <v>89.67</v>
      </c>
      <c r="O29" s="224">
        <v>91.07</v>
      </c>
      <c r="P29" s="98">
        <f t="shared" si="2"/>
        <v>1.5612802498048195E-2</v>
      </c>
      <c r="Q29" s="223">
        <f t="shared" si="3"/>
        <v>1.3999999999999915</v>
      </c>
    </row>
    <row r="30" spans="2:17" x14ac:dyDescent="0.25">
      <c r="B30" s="99" t="s">
        <v>63</v>
      </c>
      <c r="C30" s="225">
        <v>59.93</v>
      </c>
      <c r="D30" s="225">
        <v>57.07</v>
      </c>
      <c r="E30" s="225">
        <v>65.52</v>
      </c>
      <c r="F30" s="225">
        <v>73.069999999999993</v>
      </c>
      <c r="G30" s="225">
        <v>81.81</v>
      </c>
      <c r="H30" s="225">
        <v>92.23</v>
      </c>
      <c r="I30" s="100">
        <f t="shared" si="0"/>
        <v>0.12736829238479408</v>
      </c>
      <c r="J30" s="225">
        <f t="shared" si="1"/>
        <v>10.420000000000002</v>
      </c>
      <c r="K30" s="226">
        <v>66.09</v>
      </c>
      <c r="L30" s="226">
        <v>75.81</v>
      </c>
      <c r="M30" s="226">
        <v>80.260000000000005</v>
      </c>
      <c r="N30" s="226">
        <v>94.14</v>
      </c>
      <c r="O30" s="226">
        <v>96.13</v>
      </c>
      <c r="P30" s="100">
        <f t="shared" si="2"/>
        <v>2.113872955173135E-2</v>
      </c>
      <c r="Q30" s="225">
        <f t="shared" si="3"/>
        <v>1.9899999999999949</v>
      </c>
    </row>
    <row r="31" spans="2:17" x14ac:dyDescent="0.25">
      <c r="B31" s="99" t="s">
        <v>70</v>
      </c>
      <c r="C31" s="225">
        <v>42.61</v>
      </c>
      <c r="D31" s="225">
        <v>41.43</v>
      </c>
      <c r="E31" s="225">
        <v>46.25</v>
      </c>
      <c r="F31" s="225">
        <v>50.85</v>
      </c>
      <c r="G31" s="225">
        <v>58.4</v>
      </c>
      <c r="H31" s="225">
        <v>61.07</v>
      </c>
      <c r="I31" s="100">
        <f t="shared" si="0"/>
        <v>4.5719178082191725E-2</v>
      </c>
      <c r="J31" s="225">
        <f t="shared" si="1"/>
        <v>2.6700000000000017</v>
      </c>
      <c r="K31" s="226">
        <v>44.35</v>
      </c>
      <c r="L31" s="226">
        <v>48.97</v>
      </c>
      <c r="M31" s="226">
        <v>52.85</v>
      </c>
      <c r="N31" s="226">
        <v>60.28</v>
      </c>
      <c r="O31" s="226">
        <v>57.53</v>
      </c>
      <c r="P31" s="100">
        <f t="shared" si="2"/>
        <v>-4.5620437956204407E-2</v>
      </c>
      <c r="Q31" s="225">
        <f t="shared" si="3"/>
        <v>-2.75</v>
      </c>
    </row>
    <row r="32" spans="2:17" x14ac:dyDescent="0.25">
      <c r="B32" s="96" t="s">
        <v>65</v>
      </c>
      <c r="C32" s="223">
        <v>43.27</v>
      </c>
      <c r="D32" s="223">
        <v>41.41</v>
      </c>
      <c r="E32" s="223">
        <v>43.49</v>
      </c>
      <c r="F32" s="223">
        <v>48.39</v>
      </c>
      <c r="G32" s="223">
        <v>55.81</v>
      </c>
      <c r="H32" s="223">
        <v>59.46</v>
      </c>
      <c r="I32" s="98">
        <f t="shared" si="0"/>
        <v>6.540046586633208E-2</v>
      </c>
      <c r="J32" s="223">
        <f t="shared" si="1"/>
        <v>3.6499999999999986</v>
      </c>
      <c r="K32" s="224">
        <v>44.61</v>
      </c>
      <c r="L32" s="224">
        <v>45.12</v>
      </c>
      <c r="M32" s="224">
        <v>52.45</v>
      </c>
      <c r="N32" s="224">
        <v>57.11</v>
      </c>
      <c r="O32" s="224">
        <v>63.17</v>
      </c>
      <c r="P32" s="98">
        <f t="shared" si="2"/>
        <v>0.10611101383295396</v>
      </c>
      <c r="Q32" s="223">
        <f t="shared" si="3"/>
        <v>6.0600000000000023</v>
      </c>
    </row>
    <row r="33" spans="2:17" x14ac:dyDescent="0.25">
      <c r="B33" s="93" t="s">
        <v>51</v>
      </c>
      <c r="C33" s="227">
        <v>86.79</v>
      </c>
      <c r="D33" s="227">
        <v>84.44</v>
      </c>
      <c r="E33" s="227">
        <v>89.45</v>
      </c>
      <c r="F33" s="227">
        <v>98.5</v>
      </c>
      <c r="G33" s="227">
        <v>108.5</v>
      </c>
      <c r="H33" s="227">
        <v>115.69</v>
      </c>
      <c r="I33" s="102">
        <f t="shared" si="0"/>
        <v>6.6267281105990783E-2</v>
      </c>
      <c r="J33" s="227">
        <f t="shared" si="1"/>
        <v>7.1899999999999977</v>
      </c>
      <c r="K33" s="228">
        <v>78.63</v>
      </c>
      <c r="L33" s="228">
        <v>82.69</v>
      </c>
      <c r="M33" s="228">
        <v>89.63</v>
      </c>
      <c r="N33" s="228">
        <v>99.29</v>
      </c>
      <c r="O33" s="228">
        <v>99.29</v>
      </c>
      <c r="P33" s="102">
        <f t="shared" si="2"/>
        <v>0</v>
      </c>
      <c r="Q33" s="227">
        <f t="shared" si="3"/>
        <v>0</v>
      </c>
    </row>
    <row r="34" spans="2:17" x14ac:dyDescent="0.25">
      <c r="B34" s="96" t="s">
        <v>62</v>
      </c>
      <c r="C34" s="223">
        <v>86.79</v>
      </c>
      <c r="D34" s="223">
        <v>84.44</v>
      </c>
      <c r="E34" s="223">
        <v>89.45</v>
      </c>
      <c r="F34" s="223">
        <v>97.58</v>
      </c>
      <c r="G34" s="223">
        <v>108.5</v>
      </c>
      <c r="H34" s="223">
        <v>115.69</v>
      </c>
      <c r="I34" s="98">
        <f t="shared" si="0"/>
        <v>6.6267281105990783E-2</v>
      </c>
      <c r="J34" s="223">
        <f t="shared" si="1"/>
        <v>7.1899999999999977</v>
      </c>
      <c r="K34" s="224">
        <v>78.63</v>
      </c>
      <c r="L34" s="224">
        <v>82.69</v>
      </c>
      <c r="M34" s="224">
        <v>89.63</v>
      </c>
      <c r="N34" s="224">
        <v>99.29</v>
      </c>
      <c r="O34" s="224">
        <v>99.29</v>
      </c>
      <c r="P34" s="98">
        <f t="shared" si="2"/>
        <v>0</v>
      </c>
      <c r="Q34" s="223">
        <f t="shared" si="3"/>
        <v>0</v>
      </c>
    </row>
    <row r="35" spans="2:17" x14ac:dyDescent="0.25">
      <c r="B35" s="93" t="s">
        <v>52</v>
      </c>
      <c r="C35" s="227">
        <v>106.13</v>
      </c>
      <c r="D35" s="227">
        <v>125.31</v>
      </c>
      <c r="E35" s="227">
        <v>128.21</v>
      </c>
      <c r="F35" s="227">
        <v>149.08000000000001</v>
      </c>
      <c r="G35" s="227">
        <v>167.62</v>
      </c>
      <c r="H35" s="227">
        <v>191.89</v>
      </c>
      <c r="I35" s="102">
        <f t="shared" si="0"/>
        <v>0.14479179095573302</v>
      </c>
      <c r="J35" s="227">
        <f t="shared" si="1"/>
        <v>24.269999999999982</v>
      </c>
      <c r="K35" s="228">
        <v>119.18</v>
      </c>
      <c r="L35" s="228">
        <v>150.33000000000001</v>
      </c>
      <c r="M35" s="228">
        <v>160</v>
      </c>
      <c r="N35" s="228">
        <v>197.99</v>
      </c>
      <c r="O35" s="228">
        <v>167.35</v>
      </c>
      <c r="P35" s="102">
        <f t="shared" si="2"/>
        <v>-0.15475529067124605</v>
      </c>
      <c r="Q35" s="227">
        <f t="shared" si="3"/>
        <v>-30.640000000000015</v>
      </c>
    </row>
    <row r="36" spans="2:17" x14ac:dyDescent="0.25">
      <c r="B36" s="96" t="s">
        <v>62</v>
      </c>
      <c r="C36" s="223">
        <v>133.72</v>
      </c>
      <c r="D36" s="223">
        <v>131.41999999999999</v>
      </c>
      <c r="E36" s="223">
        <v>137.6</v>
      </c>
      <c r="F36" s="223">
        <v>157.52000000000001</v>
      </c>
      <c r="G36" s="223">
        <v>177.79</v>
      </c>
      <c r="H36" s="223">
        <v>204.84</v>
      </c>
      <c r="I36" s="98">
        <f t="shared" si="0"/>
        <v>0.15214578997693917</v>
      </c>
      <c r="J36" s="223">
        <f t="shared" si="1"/>
        <v>27.050000000000011</v>
      </c>
      <c r="K36" s="224">
        <v>127.26</v>
      </c>
      <c r="L36" s="224">
        <v>157.88999999999999</v>
      </c>
      <c r="M36" s="224">
        <v>171.83</v>
      </c>
      <c r="N36" s="224">
        <v>211.81</v>
      </c>
      <c r="O36" s="224">
        <v>181.8</v>
      </c>
      <c r="P36" s="98">
        <f t="shared" si="2"/>
        <v>-0.1416835843444596</v>
      </c>
      <c r="Q36" s="223">
        <f t="shared" si="3"/>
        <v>-30.009999999999991</v>
      </c>
    </row>
    <row r="37" spans="2:17" x14ac:dyDescent="0.25">
      <c r="B37" s="96" t="s">
        <v>65</v>
      </c>
      <c r="C37" s="223">
        <v>41.89</v>
      </c>
      <c r="D37" s="223">
        <v>74.180000000000007</v>
      </c>
      <c r="E37" s="223">
        <v>79.56</v>
      </c>
      <c r="F37" s="223">
        <v>104.15</v>
      </c>
      <c r="G37" s="223">
        <v>109.88</v>
      </c>
      <c r="H37" s="223">
        <v>124.4</v>
      </c>
      <c r="I37" s="98">
        <f t="shared" si="0"/>
        <v>0.1321441572624682</v>
      </c>
      <c r="J37" s="223">
        <f t="shared" si="1"/>
        <v>14.52000000000001</v>
      </c>
      <c r="K37" s="224">
        <v>75.02</v>
      </c>
      <c r="L37" s="224">
        <v>110.57</v>
      </c>
      <c r="M37" s="224">
        <v>95.28</v>
      </c>
      <c r="N37" s="224">
        <v>129.86000000000001</v>
      </c>
      <c r="O37" s="224">
        <v>87.89</v>
      </c>
      <c r="P37" s="98">
        <f t="shared" si="2"/>
        <v>-0.32319420914831365</v>
      </c>
      <c r="Q37" s="223">
        <f t="shared" si="3"/>
        <v>-41.970000000000013</v>
      </c>
    </row>
    <row r="38" spans="2:17" x14ac:dyDescent="0.25">
      <c r="B38" s="93" t="s">
        <v>53</v>
      </c>
      <c r="C38" s="227">
        <v>64.19</v>
      </c>
      <c r="D38" s="227">
        <v>68.989999999999995</v>
      </c>
      <c r="E38" s="227">
        <v>76.34</v>
      </c>
      <c r="F38" s="227">
        <v>86.56</v>
      </c>
      <c r="G38" s="227">
        <v>96.87</v>
      </c>
      <c r="H38" s="227">
        <v>102.34</v>
      </c>
      <c r="I38" s="102">
        <f t="shared" si="0"/>
        <v>5.646743057706205E-2</v>
      </c>
      <c r="J38" s="227">
        <f t="shared" si="1"/>
        <v>5.4699999999999989</v>
      </c>
      <c r="K38" s="228">
        <v>72.41</v>
      </c>
      <c r="L38" s="228">
        <v>77.930000000000007</v>
      </c>
      <c r="M38" s="228">
        <v>85.57</v>
      </c>
      <c r="N38" s="228">
        <v>89.95</v>
      </c>
      <c r="O38" s="228">
        <v>97.55</v>
      </c>
      <c r="P38" s="102">
        <f t="shared" si="2"/>
        <v>8.4491384102278966E-2</v>
      </c>
      <c r="Q38" s="227">
        <f t="shared" si="3"/>
        <v>7.5999999999999943</v>
      </c>
    </row>
    <row r="39" spans="2:17" x14ac:dyDescent="0.25">
      <c r="B39" s="96" t="s">
        <v>62</v>
      </c>
      <c r="C39" s="223">
        <v>64.19</v>
      </c>
      <c r="D39" s="223">
        <v>68.989999999999995</v>
      </c>
      <c r="E39" s="223">
        <v>76.34</v>
      </c>
      <c r="F39" s="223">
        <v>85.99</v>
      </c>
      <c r="G39" s="223">
        <v>96.87</v>
      </c>
      <c r="H39" s="223">
        <v>102.34</v>
      </c>
      <c r="I39" s="98">
        <f t="shared" si="0"/>
        <v>5.646743057706205E-2</v>
      </c>
      <c r="J39" s="223">
        <f t="shared" si="1"/>
        <v>5.4699999999999989</v>
      </c>
      <c r="K39" s="224">
        <v>72.41</v>
      </c>
      <c r="L39" s="224">
        <v>77.930000000000007</v>
      </c>
      <c r="M39" s="224">
        <v>85.57</v>
      </c>
      <c r="N39" s="224">
        <v>89.95</v>
      </c>
      <c r="O39" s="224">
        <v>97.55</v>
      </c>
      <c r="P39" s="98">
        <f t="shared" si="2"/>
        <v>8.4491384102278966E-2</v>
      </c>
      <c r="Q39" s="223">
        <f t="shared" si="3"/>
        <v>7.5999999999999943</v>
      </c>
    </row>
    <row r="40" spans="2:17" x14ac:dyDescent="0.25">
      <c r="B40" s="99" t="s">
        <v>63</v>
      </c>
      <c r="C40" s="225">
        <v>76.319999999999993</v>
      </c>
      <c r="D40" s="225">
        <v>76.47</v>
      </c>
      <c r="E40" s="225">
        <v>90.03</v>
      </c>
      <c r="F40" s="225">
        <v>100.71</v>
      </c>
      <c r="G40" s="225">
        <v>115.08</v>
      </c>
      <c r="H40" s="225">
        <v>119.72</v>
      </c>
      <c r="I40" s="100">
        <f t="shared" si="0"/>
        <v>4.0319777546054869E-2</v>
      </c>
      <c r="J40" s="225">
        <f t="shared" si="1"/>
        <v>4.6400000000000006</v>
      </c>
      <c r="K40" s="226">
        <v>84.89</v>
      </c>
      <c r="L40" s="226">
        <v>90.31</v>
      </c>
      <c r="M40" s="226">
        <v>99.5</v>
      </c>
      <c r="N40" s="226">
        <v>102.28</v>
      </c>
      <c r="O40" s="226">
        <v>107.36</v>
      </c>
      <c r="P40" s="100">
        <f t="shared" si="2"/>
        <v>4.9667579194368372E-2</v>
      </c>
      <c r="Q40" s="225">
        <f t="shared" si="3"/>
        <v>5.0799999999999983</v>
      </c>
    </row>
    <row r="41" spans="2:17" x14ac:dyDescent="0.25">
      <c r="B41" s="99" t="s">
        <v>70</v>
      </c>
      <c r="C41" s="225">
        <v>52.19</v>
      </c>
      <c r="D41" s="225">
        <v>57.98</v>
      </c>
      <c r="E41" s="225">
        <v>57.94</v>
      </c>
      <c r="F41" s="225">
        <v>66.849999999999994</v>
      </c>
      <c r="G41" s="225">
        <v>70.069999999999993</v>
      </c>
      <c r="H41" s="225">
        <v>70.59</v>
      </c>
      <c r="I41" s="100">
        <f t="shared" si="0"/>
        <v>7.4211502782932648E-3</v>
      </c>
      <c r="J41" s="225">
        <f t="shared" si="1"/>
        <v>0.52000000000001023</v>
      </c>
      <c r="K41" s="226">
        <v>55.23</v>
      </c>
      <c r="L41" s="226">
        <v>61.37</v>
      </c>
      <c r="M41" s="226">
        <v>65.78</v>
      </c>
      <c r="N41" s="226">
        <v>63.7</v>
      </c>
      <c r="O41" s="226">
        <v>71.55</v>
      </c>
      <c r="P41" s="100">
        <f t="shared" si="2"/>
        <v>0.12323390894819464</v>
      </c>
      <c r="Q41" s="225">
        <f t="shared" si="3"/>
        <v>7.8499999999999943</v>
      </c>
    </row>
    <row r="42" spans="2:17" x14ac:dyDescent="0.25">
      <c r="B42" s="93" t="s">
        <v>54</v>
      </c>
      <c r="C42" s="227">
        <v>102.24</v>
      </c>
      <c r="D42" s="227">
        <v>98.71</v>
      </c>
      <c r="E42" s="227">
        <v>114.5</v>
      </c>
      <c r="F42" s="227">
        <v>129.22</v>
      </c>
      <c r="G42" s="227">
        <v>138.65</v>
      </c>
      <c r="H42" s="227">
        <v>118.46</v>
      </c>
      <c r="I42" s="102">
        <f t="shared" si="0"/>
        <v>-0.1456184637576633</v>
      </c>
      <c r="J42" s="227">
        <f t="shared" si="1"/>
        <v>-20.190000000000012</v>
      </c>
      <c r="K42" s="228">
        <v>124.87</v>
      </c>
      <c r="L42" s="228">
        <v>138.43</v>
      </c>
      <c r="M42" s="228">
        <v>155.41999999999999</v>
      </c>
      <c r="N42" s="228">
        <v>122.03</v>
      </c>
      <c r="O42" s="228">
        <v>124.45</v>
      </c>
      <c r="P42" s="102">
        <f t="shared" si="2"/>
        <v>1.9831189051872533E-2</v>
      </c>
      <c r="Q42" s="227">
        <f t="shared" si="3"/>
        <v>2.4200000000000017</v>
      </c>
    </row>
    <row r="43" spans="2:17" x14ac:dyDescent="0.25">
      <c r="B43" s="96" t="s">
        <v>62</v>
      </c>
      <c r="C43" s="223">
        <v>108.14</v>
      </c>
      <c r="D43" s="223">
        <v>104.52</v>
      </c>
      <c r="E43" s="223">
        <v>121.1</v>
      </c>
      <c r="F43" s="223">
        <v>138.26</v>
      </c>
      <c r="G43" s="223">
        <v>145.62</v>
      </c>
      <c r="H43" s="223">
        <v>121.32</v>
      </c>
      <c r="I43" s="98">
        <f t="shared" si="0"/>
        <v>-0.16687268232385666</v>
      </c>
      <c r="J43" s="223">
        <f t="shared" si="1"/>
        <v>-24.300000000000011</v>
      </c>
      <c r="K43" s="224">
        <v>133.19999999999999</v>
      </c>
      <c r="L43" s="224">
        <v>147.66</v>
      </c>
      <c r="M43" s="224">
        <v>165.23</v>
      </c>
      <c r="N43" s="224">
        <v>126.26</v>
      </c>
      <c r="O43" s="224">
        <v>129.43</v>
      </c>
      <c r="P43" s="98">
        <f t="shared" si="2"/>
        <v>2.5106922223982364E-2</v>
      </c>
      <c r="Q43" s="223">
        <f t="shared" si="3"/>
        <v>3.1700000000000017</v>
      </c>
    </row>
    <row r="44" spans="2:17" x14ac:dyDescent="0.25">
      <c r="B44" s="99" t="s">
        <v>63</v>
      </c>
      <c r="C44" s="225">
        <v>0</v>
      </c>
      <c r="D44" s="225">
        <v>111.35</v>
      </c>
      <c r="E44" s="225">
        <v>128.75</v>
      </c>
      <c r="F44" s="225">
        <v>147.52000000000001</v>
      </c>
      <c r="G44" s="225">
        <v>153.44</v>
      </c>
      <c r="H44" s="225">
        <v>124</v>
      </c>
      <c r="I44" s="100">
        <f t="shared" si="0"/>
        <v>-0.19186652763295098</v>
      </c>
      <c r="J44" s="225">
        <f t="shared" si="1"/>
        <v>-29.439999999999998</v>
      </c>
      <c r="K44" s="226">
        <v>144.04</v>
      </c>
      <c r="L44" s="226">
        <v>157.35</v>
      </c>
      <c r="M44" s="226">
        <v>177.05</v>
      </c>
      <c r="N44" s="226">
        <v>129.22999999999999</v>
      </c>
      <c r="O44" s="226">
        <v>133.13</v>
      </c>
      <c r="P44" s="100">
        <f t="shared" si="2"/>
        <v>3.0178751063994369E-2</v>
      </c>
      <c r="Q44" s="225">
        <f t="shared" si="3"/>
        <v>3.9000000000000057</v>
      </c>
    </row>
    <row r="45" spans="2:17" x14ac:dyDescent="0.25">
      <c r="B45" s="99" t="s">
        <v>70</v>
      </c>
      <c r="C45" s="225">
        <v>0</v>
      </c>
      <c r="D45" s="225">
        <v>79.67</v>
      </c>
      <c r="E45" s="225">
        <v>92.67</v>
      </c>
      <c r="F45" s="225">
        <v>101.68</v>
      </c>
      <c r="G45" s="225">
        <v>114.46</v>
      </c>
      <c r="H45" s="225">
        <v>110.64</v>
      </c>
      <c r="I45" s="100">
        <f t="shared" si="0"/>
        <v>-3.3374104490651701E-2</v>
      </c>
      <c r="J45" s="225">
        <f t="shared" si="1"/>
        <v>-3.8199999999999932</v>
      </c>
      <c r="K45" s="226">
        <v>95.18</v>
      </c>
      <c r="L45" s="226">
        <v>109.8</v>
      </c>
      <c r="M45" s="226">
        <v>122.4</v>
      </c>
      <c r="N45" s="226">
        <v>114.58</v>
      </c>
      <c r="O45" s="226">
        <v>113.82</v>
      </c>
      <c r="P45" s="100">
        <f t="shared" si="2"/>
        <v>-6.6329202304067358E-3</v>
      </c>
      <c r="Q45" s="225">
        <f t="shared" si="3"/>
        <v>-0.76000000000000512</v>
      </c>
    </row>
    <row r="46" spans="2:17" x14ac:dyDescent="0.25">
      <c r="B46" s="96" t="s">
        <v>65</v>
      </c>
      <c r="C46" s="223">
        <v>76.39</v>
      </c>
      <c r="D46" s="223">
        <v>66.930000000000007</v>
      </c>
      <c r="E46" s="223">
        <v>72.900000000000006</v>
      </c>
      <c r="F46" s="223">
        <v>77.459999999999994</v>
      </c>
      <c r="G46" s="223">
        <v>94.86</v>
      </c>
      <c r="H46" s="223">
        <v>101.95</v>
      </c>
      <c r="I46" s="98">
        <f t="shared" si="0"/>
        <v>7.4741724646848029E-2</v>
      </c>
      <c r="J46" s="223">
        <f t="shared" si="1"/>
        <v>7.0900000000000034</v>
      </c>
      <c r="K46" s="224">
        <v>64.42</v>
      </c>
      <c r="L46" s="224">
        <v>74.31</v>
      </c>
      <c r="M46" s="224">
        <v>87.22</v>
      </c>
      <c r="N46" s="224">
        <v>96.83</v>
      </c>
      <c r="O46" s="224">
        <v>95.11</v>
      </c>
      <c r="P46" s="98">
        <f t="shared" si="2"/>
        <v>-1.7763089951461364E-2</v>
      </c>
      <c r="Q46" s="223">
        <f t="shared" si="3"/>
        <v>-1.7199999999999989</v>
      </c>
    </row>
    <row r="47" spans="2:17" x14ac:dyDescent="0.25">
      <c r="B47" s="93" t="s">
        <v>55</v>
      </c>
      <c r="C47" s="227">
        <v>58.1</v>
      </c>
      <c r="D47" s="227">
        <v>74.28</v>
      </c>
      <c r="E47" s="227">
        <v>64.23</v>
      </c>
      <c r="F47" s="227">
        <v>69.86</v>
      </c>
      <c r="G47" s="227">
        <v>72.73</v>
      </c>
      <c r="H47" s="227">
        <v>77.06</v>
      </c>
      <c r="I47" s="102">
        <f t="shared" si="0"/>
        <v>5.9535267427471394E-2</v>
      </c>
      <c r="J47" s="227">
        <f t="shared" si="1"/>
        <v>4.3299999999999983</v>
      </c>
      <c r="K47" s="228">
        <v>63.81</v>
      </c>
      <c r="L47" s="228">
        <v>67.17</v>
      </c>
      <c r="M47" s="228">
        <v>61.64</v>
      </c>
      <c r="N47" s="228">
        <v>66.099999999999994</v>
      </c>
      <c r="O47" s="228">
        <v>90.36</v>
      </c>
      <c r="P47" s="102">
        <f t="shared" si="2"/>
        <v>0.36701966717095313</v>
      </c>
      <c r="Q47" s="227">
        <f t="shared" si="3"/>
        <v>24.260000000000005</v>
      </c>
    </row>
    <row r="48" spans="2:17" x14ac:dyDescent="0.25">
      <c r="B48" s="96" t="s">
        <v>62</v>
      </c>
      <c r="C48" s="223">
        <v>57.83</v>
      </c>
      <c r="D48" s="223">
        <v>74.63</v>
      </c>
      <c r="E48" s="223">
        <v>64.650000000000006</v>
      </c>
      <c r="F48" s="223">
        <v>69.67</v>
      </c>
      <c r="G48" s="223">
        <v>73.94</v>
      </c>
      <c r="H48" s="223">
        <v>78.400000000000006</v>
      </c>
      <c r="I48" s="98">
        <f t="shared" si="0"/>
        <v>6.0319177711658289E-2</v>
      </c>
      <c r="J48" s="223">
        <f t="shared" si="1"/>
        <v>4.460000000000008</v>
      </c>
      <c r="K48" s="224">
        <v>64.91</v>
      </c>
      <c r="L48" s="224">
        <v>65.89</v>
      </c>
      <c r="M48" s="224">
        <v>62.4</v>
      </c>
      <c r="N48" s="224">
        <v>67.08</v>
      </c>
      <c r="O48" s="224">
        <v>95.05</v>
      </c>
      <c r="P48" s="98">
        <f t="shared" si="2"/>
        <v>0.41696481812760888</v>
      </c>
      <c r="Q48" s="223">
        <f t="shared" si="3"/>
        <v>27.97</v>
      </c>
    </row>
    <row r="49" spans="2:17" x14ac:dyDescent="0.25">
      <c r="B49" s="99" t="s">
        <v>63</v>
      </c>
      <c r="C49" s="225">
        <v>59.72</v>
      </c>
      <c r="D49" s="225">
        <v>75.540000000000006</v>
      </c>
      <c r="E49" s="225">
        <v>69.69</v>
      </c>
      <c r="F49" s="225">
        <v>75.87</v>
      </c>
      <c r="G49" s="225">
        <v>79.3</v>
      </c>
      <c r="H49" s="225">
        <v>83.59</v>
      </c>
      <c r="I49" s="100">
        <f t="shared" si="0"/>
        <v>5.4098360655737698E-2</v>
      </c>
      <c r="J49" s="225">
        <f t="shared" si="1"/>
        <v>4.2900000000000063</v>
      </c>
      <c r="K49" s="226">
        <v>67.5</v>
      </c>
      <c r="L49" s="226">
        <v>67.81</v>
      </c>
      <c r="M49" s="226">
        <v>62.84</v>
      </c>
      <c r="N49" s="226">
        <v>67.72</v>
      </c>
      <c r="O49" s="226">
        <v>102.79</v>
      </c>
      <c r="P49" s="100">
        <f t="shared" si="2"/>
        <v>0.51786769049025416</v>
      </c>
      <c r="Q49" s="225">
        <f t="shared" si="3"/>
        <v>35.070000000000007</v>
      </c>
    </row>
    <row r="50" spans="2:17" x14ac:dyDescent="0.25">
      <c r="B50" s="99" t="s">
        <v>70</v>
      </c>
      <c r="C50" s="225">
        <v>52.07</v>
      </c>
      <c r="D50" s="225">
        <v>70.77</v>
      </c>
      <c r="E50" s="225">
        <v>51.36</v>
      </c>
      <c r="F50" s="225">
        <v>51.62</v>
      </c>
      <c r="G50" s="225">
        <v>60.16</v>
      </c>
      <c r="H50" s="225">
        <v>64.61</v>
      </c>
      <c r="I50" s="100">
        <f t="shared" si="0"/>
        <v>7.3969414893616969E-2</v>
      </c>
      <c r="J50" s="225">
        <f t="shared" si="1"/>
        <v>4.4500000000000028</v>
      </c>
      <c r="K50" s="226">
        <v>56.77</v>
      </c>
      <c r="L50" s="226">
        <v>58.81</v>
      </c>
      <c r="M50" s="226">
        <v>61.05</v>
      </c>
      <c r="N50" s="226">
        <v>65.02</v>
      </c>
      <c r="O50" s="226">
        <v>68.08</v>
      </c>
      <c r="P50" s="100">
        <f t="shared" si="2"/>
        <v>4.7062442325438436E-2</v>
      </c>
      <c r="Q50" s="225">
        <f t="shared" si="3"/>
        <v>3.0600000000000023</v>
      </c>
    </row>
    <row r="51" spans="2:17" x14ac:dyDescent="0.25">
      <c r="B51" s="96" t="s">
        <v>65</v>
      </c>
      <c r="C51" s="223">
        <v>83.93</v>
      </c>
      <c r="D51" s="223">
        <v>154.72</v>
      </c>
      <c r="E51" s="223">
        <v>187.76</v>
      </c>
      <c r="F51" s="223">
        <v>163.5</v>
      </c>
      <c r="G51" s="223">
        <v>90.36</v>
      </c>
      <c r="H51" s="223">
        <v>97.54</v>
      </c>
      <c r="I51" s="98">
        <f t="shared" si="0"/>
        <v>7.9459938025675081E-2</v>
      </c>
      <c r="J51" s="223">
        <f t="shared" si="1"/>
        <v>7.1800000000000068</v>
      </c>
      <c r="K51" s="224">
        <v>175.7</v>
      </c>
      <c r="L51" s="224">
        <v>175.69</v>
      </c>
      <c r="M51" s="224">
        <v>55.47</v>
      </c>
      <c r="N51" s="224">
        <v>105.4</v>
      </c>
      <c r="O51" s="224">
        <v>96.23</v>
      </c>
      <c r="P51" s="98">
        <f t="shared" si="2"/>
        <v>-8.7001897533206862E-2</v>
      </c>
      <c r="Q51" s="223">
        <f t="shared" si="3"/>
        <v>-9.1700000000000017</v>
      </c>
    </row>
    <row r="52" spans="2:17" ht="6.95" customHeight="1" x14ac:dyDescent="0.25">
      <c r="B52" s="103"/>
      <c r="C52" s="104"/>
      <c r="D52" s="104"/>
      <c r="E52" s="104"/>
      <c r="F52" s="104"/>
      <c r="G52" s="105"/>
      <c r="H52" s="104"/>
      <c r="I52" s="106"/>
      <c r="J52" s="104"/>
      <c r="K52" s="104"/>
      <c r="L52" s="104"/>
      <c r="M52" s="104"/>
      <c r="N52" s="104"/>
      <c r="O52" s="106"/>
      <c r="P52" s="106"/>
      <c r="Q52" s="106"/>
    </row>
    <row r="53" spans="2:17" ht="15" customHeight="1" x14ac:dyDescent="0.25">
      <c r="B53" s="107" t="s">
        <v>57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B8A8B-6A47-44EA-9037-6B319C242769}">
  <sheetPr>
    <tabColor theme="2" tint="-9.9978637043366805E-2"/>
  </sheetPr>
  <dimension ref="B1:Q53"/>
  <sheetViews>
    <sheetView showGridLines="0" zoomScaleNormal="100" workbookViewId="0"/>
  </sheetViews>
  <sheetFormatPr baseColWidth="10" defaultRowHeight="15" x14ac:dyDescent="0.25"/>
  <cols>
    <col min="1" max="1" width="15.5703125" customWidth="1"/>
    <col min="2" max="2" width="24.7109375" customWidth="1"/>
    <col min="3" max="8" width="11.42578125" customWidth="1"/>
    <col min="9" max="9" width="10.7109375" customWidth="1"/>
    <col min="10" max="10" width="9.7109375" customWidth="1"/>
    <col min="11" max="15" width="12.28515625" customWidth="1"/>
    <col min="16" max="17" width="10.7109375" customWidth="1"/>
    <col min="18" max="18" width="14.42578125" customWidth="1"/>
    <col min="19" max="20" width="7.85546875" customWidth="1"/>
    <col min="21" max="21" width="8.140625" customWidth="1"/>
    <col min="22" max="22" width="9" customWidth="1"/>
    <col min="23" max="24" width="9.42578125" customWidth="1"/>
  </cols>
  <sheetData>
    <row r="1" spans="2:17" ht="42.75" customHeight="1" x14ac:dyDescent="0.25"/>
    <row r="3" spans="2:17" ht="30.75" customHeight="1" thickBot="1" x14ac:dyDescent="0.3">
      <c r="B3" s="84" t="str">
        <f>CONCATENATE("Ingresos medios por habitación (RevPar) Tenerife y municipios")</f>
        <v>Ingresos medios por habitación (RevPar) Tenerife y municipios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2:17" ht="6.95" customHeight="1" thickBot="1" x14ac:dyDescent="0.3">
      <c r="B4" s="85"/>
      <c r="C4" s="85"/>
      <c r="D4" s="85"/>
      <c r="E4" s="85"/>
      <c r="F4" s="85"/>
      <c r="G4" s="85"/>
      <c r="H4" s="85"/>
      <c r="I4" s="86"/>
      <c r="J4" s="85"/>
      <c r="K4" s="85"/>
      <c r="L4" s="85"/>
      <c r="M4" s="85"/>
      <c r="N4" s="85"/>
      <c r="O4" s="86"/>
      <c r="P4" s="86"/>
      <c r="Q4" s="86"/>
    </row>
    <row r="5" spans="2:17" ht="59.25" customHeight="1" x14ac:dyDescent="0.25">
      <c r="B5" s="90"/>
      <c r="C5" s="14">
        <v>2020</v>
      </c>
      <c r="D5" s="14">
        <v>2021</v>
      </c>
      <c r="E5" s="14">
        <v>2022</v>
      </c>
      <c r="F5" s="14">
        <v>2023</v>
      </c>
      <c r="G5" s="14">
        <v>2024</v>
      </c>
      <c r="H5" s="14">
        <v>2025</v>
      </c>
      <c r="I5" s="91" t="str">
        <f>CONCATENATE("var. ",RIGHT(H5,2),"/",RIGHT(G5,2))</f>
        <v>var. 25/24</v>
      </c>
      <c r="J5" s="91" t="str">
        <f>CONCATENATE("dif. ",RIGHT(H5,2),"/",RIGHT(G5,2))</f>
        <v>dif. 25/24</v>
      </c>
      <c r="K5" s="92" t="s">
        <v>234</v>
      </c>
      <c r="L5" s="92" t="s">
        <v>235</v>
      </c>
      <c r="M5" s="92" t="s">
        <v>236</v>
      </c>
      <c r="N5" s="92" t="s">
        <v>237</v>
      </c>
      <c r="O5" s="92" t="s">
        <v>238</v>
      </c>
      <c r="P5" s="91" t="str">
        <f>CONCATENATE("var. ",RIGHT(O5,2),"/",RIGHT(N5,2))</f>
        <v>var. 26/25</v>
      </c>
      <c r="Q5" s="91" t="str">
        <f>CONCATENATE("dif. ",RIGHT(O5,2),"/",RIGHT(N5,2))</f>
        <v>dif. 26/25</v>
      </c>
    </row>
    <row r="6" spans="2:17" x14ac:dyDescent="0.25">
      <c r="B6" s="93" t="s">
        <v>45</v>
      </c>
      <c r="C6" s="221">
        <v>48.13</v>
      </c>
      <c r="D6" s="221">
        <v>53</v>
      </c>
      <c r="E6" s="221">
        <v>80.58</v>
      </c>
      <c r="F6" s="221">
        <v>93.36</v>
      </c>
      <c r="G6" s="221">
        <v>104.71</v>
      </c>
      <c r="H6" s="221">
        <v>109.92</v>
      </c>
      <c r="I6" s="95">
        <f t="shared" ref="I6:I51" si="0">IFERROR(H6/G6-1,"-")</f>
        <v>4.9756470251169915E-2</v>
      </c>
      <c r="J6" s="221">
        <f t="shared" ref="J6:J51" si="1">IFERROR(H6-G6,"-")</f>
        <v>5.210000000000008</v>
      </c>
      <c r="K6" s="222">
        <v>1762.1799999999996</v>
      </c>
      <c r="L6" s="222">
        <v>2126.9100000000008</v>
      </c>
      <c r="M6" s="222">
        <v>2252.25</v>
      </c>
      <c r="N6" s="222">
        <v>2425.0700000000002</v>
      </c>
      <c r="O6" s="222">
        <v>2409.2800000000007</v>
      </c>
      <c r="P6" s="95">
        <f t="shared" ref="P6:P51" si="2">IFERROR(O6/N6-1,"-")</f>
        <v>-6.5111522553985557E-3</v>
      </c>
      <c r="Q6" s="221">
        <f t="shared" ref="Q6:Q51" si="3">IFERROR(O6-N6,"-")</f>
        <v>-15.789999999999509</v>
      </c>
    </row>
    <row r="7" spans="2:17" x14ac:dyDescent="0.25">
      <c r="B7" s="96" t="s">
        <v>62</v>
      </c>
      <c r="C7" s="223">
        <v>53.19</v>
      </c>
      <c r="D7" s="223">
        <v>60.01</v>
      </c>
      <c r="E7" s="223">
        <v>88.2</v>
      </c>
      <c r="F7" s="223">
        <v>102.78</v>
      </c>
      <c r="G7" s="223">
        <v>114.6</v>
      </c>
      <c r="H7" s="223">
        <v>119.42</v>
      </c>
      <c r="I7" s="98">
        <f t="shared" si="0"/>
        <v>4.205933682373475E-2</v>
      </c>
      <c r="J7" s="223">
        <f t="shared" si="1"/>
        <v>4.8200000000000074</v>
      </c>
      <c r="K7" s="224">
        <v>86.24</v>
      </c>
      <c r="L7" s="224">
        <v>99.82</v>
      </c>
      <c r="M7" s="224">
        <v>106.64</v>
      </c>
      <c r="N7" s="224">
        <v>112.96</v>
      </c>
      <c r="O7" s="224">
        <v>110.76</v>
      </c>
      <c r="P7" s="98">
        <f t="shared" si="2"/>
        <v>-1.9475920679886571E-2</v>
      </c>
      <c r="Q7" s="223">
        <f t="shared" si="3"/>
        <v>-2.1999999999999886</v>
      </c>
    </row>
    <row r="8" spans="2:17" x14ac:dyDescent="0.25">
      <c r="B8" s="99" t="s">
        <v>63</v>
      </c>
      <c r="C8" s="225">
        <v>58.8</v>
      </c>
      <c r="D8" s="225">
        <v>66.349999999999994</v>
      </c>
      <c r="E8" s="225">
        <v>96.91</v>
      </c>
      <c r="F8" s="225">
        <v>111.51</v>
      </c>
      <c r="G8" s="225">
        <v>124.22</v>
      </c>
      <c r="H8" s="225">
        <v>128.75</v>
      </c>
      <c r="I8" s="100">
        <f t="shared" si="0"/>
        <v>3.6467557559169306E-2</v>
      </c>
      <c r="J8" s="225">
        <f t="shared" si="1"/>
        <v>4.5300000000000011</v>
      </c>
      <c r="K8" s="226">
        <v>94.98</v>
      </c>
      <c r="L8" s="226">
        <v>108.69</v>
      </c>
      <c r="M8" s="226">
        <v>115.82</v>
      </c>
      <c r="N8" s="226">
        <v>122.05</v>
      </c>
      <c r="O8" s="226">
        <v>117.64</v>
      </c>
      <c r="P8" s="100">
        <f t="shared" si="2"/>
        <v>-3.6132732486685804E-2</v>
      </c>
      <c r="Q8" s="225">
        <f t="shared" si="3"/>
        <v>-4.4099999999999966</v>
      </c>
    </row>
    <row r="9" spans="2:17" x14ac:dyDescent="0.25">
      <c r="B9" s="99" t="s">
        <v>70</v>
      </c>
      <c r="C9" s="225">
        <v>29.69</v>
      </c>
      <c r="D9" s="225">
        <v>31.06</v>
      </c>
      <c r="E9" s="225">
        <v>47.58</v>
      </c>
      <c r="F9" s="225">
        <v>58.53</v>
      </c>
      <c r="G9" s="225">
        <v>65.06</v>
      </c>
      <c r="H9" s="225">
        <v>70</v>
      </c>
      <c r="I9" s="100">
        <f t="shared" si="0"/>
        <v>7.5929910851521676E-2</v>
      </c>
      <c r="J9" s="225">
        <f t="shared" si="1"/>
        <v>4.9399999999999977</v>
      </c>
      <c r="K9" s="226">
        <v>45.03</v>
      </c>
      <c r="L9" s="226">
        <v>52.39</v>
      </c>
      <c r="M9" s="226">
        <v>58.76</v>
      </c>
      <c r="N9" s="226">
        <v>65.08</v>
      </c>
      <c r="O9" s="226">
        <v>70.37</v>
      </c>
      <c r="P9" s="100">
        <f t="shared" si="2"/>
        <v>8.1284572833435931E-2</v>
      </c>
      <c r="Q9" s="225">
        <f t="shared" si="3"/>
        <v>5.2900000000000063</v>
      </c>
    </row>
    <row r="10" spans="2:17" x14ac:dyDescent="0.25">
      <c r="B10" s="96" t="s">
        <v>65</v>
      </c>
      <c r="C10" s="223">
        <v>33.86</v>
      </c>
      <c r="D10" s="223">
        <v>30.93</v>
      </c>
      <c r="E10" s="223">
        <v>53.27</v>
      </c>
      <c r="F10" s="223">
        <v>60.79</v>
      </c>
      <c r="G10" s="223">
        <v>70.34</v>
      </c>
      <c r="H10" s="223">
        <v>77.86</v>
      </c>
      <c r="I10" s="98">
        <f t="shared" si="0"/>
        <v>0.10690929769690061</v>
      </c>
      <c r="J10" s="223">
        <f t="shared" si="1"/>
        <v>7.519999999999996</v>
      </c>
      <c r="K10" s="224">
        <v>53.72</v>
      </c>
      <c r="L10" s="224">
        <v>60.63</v>
      </c>
      <c r="M10" s="224">
        <v>68.23</v>
      </c>
      <c r="N10" s="224">
        <v>78.430000000000007</v>
      </c>
      <c r="O10" s="224">
        <v>78.099999999999994</v>
      </c>
      <c r="P10" s="98">
        <f t="shared" si="2"/>
        <v>-4.2075736325387636E-3</v>
      </c>
      <c r="Q10" s="223">
        <f t="shared" si="3"/>
        <v>-0.33000000000001251</v>
      </c>
    </row>
    <row r="11" spans="2:17" x14ac:dyDescent="0.25">
      <c r="B11" s="93" t="s">
        <v>46</v>
      </c>
      <c r="C11" s="227">
        <v>61.17</v>
      </c>
      <c r="D11" s="227">
        <v>72.88</v>
      </c>
      <c r="E11" s="227">
        <v>107.72</v>
      </c>
      <c r="F11" s="227">
        <v>119.28</v>
      </c>
      <c r="G11" s="227">
        <v>131.19999999999999</v>
      </c>
      <c r="H11" s="227">
        <v>135.62</v>
      </c>
      <c r="I11" s="102">
        <f t="shared" si="0"/>
        <v>3.3689024390244127E-2</v>
      </c>
      <c r="J11" s="227">
        <f t="shared" si="1"/>
        <v>4.4200000000000159</v>
      </c>
      <c r="K11" s="228">
        <v>106.97</v>
      </c>
      <c r="L11" s="228">
        <v>114.43</v>
      </c>
      <c r="M11" s="228">
        <v>120.9</v>
      </c>
      <c r="N11" s="228">
        <v>126.28</v>
      </c>
      <c r="O11" s="228">
        <v>128.43</v>
      </c>
      <c r="P11" s="102">
        <f t="shared" si="2"/>
        <v>1.7025657269559735E-2</v>
      </c>
      <c r="Q11" s="227">
        <f t="shared" si="3"/>
        <v>2.1500000000000057</v>
      </c>
    </row>
    <row r="12" spans="2:17" x14ac:dyDescent="0.25">
      <c r="B12" s="96" t="s">
        <v>62</v>
      </c>
      <c r="C12" s="223">
        <v>66.36</v>
      </c>
      <c r="D12" s="223">
        <v>79.650000000000006</v>
      </c>
      <c r="E12" s="223">
        <v>116.54</v>
      </c>
      <c r="F12" s="223">
        <v>130.32</v>
      </c>
      <c r="G12" s="223">
        <v>144.96</v>
      </c>
      <c r="H12" s="223">
        <v>149.71</v>
      </c>
      <c r="I12" s="98">
        <f t="shared" si="0"/>
        <v>3.2767660044150215E-2</v>
      </c>
      <c r="J12" s="223">
        <f t="shared" si="1"/>
        <v>4.75</v>
      </c>
      <c r="K12" s="224">
        <v>115.97</v>
      </c>
      <c r="L12" s="224">
        <v>124.52</v>
      </c>
      <c r="M12" s="224">
        <v>133.05000000000001</v>
      </c>
      <c r="N12" s="224">
        <v>139.55000000000001</v>
      </c>
      <c r="O12" s="224">
        <v>139.46</v>
      </c>
      <c r="P12" s="98">
        <f t="shared" si="2"/>
        <v>-6.4493013256894383E-4</v>
      </c>
      <c r="Q12" s="223">
        <f t="shared" si="3"/>
        <v>-9.0000000000003411E-2</v>
      </c>
    </row>
    <row r="13" spans="2:17" x14ac:dyDescent="0.25">
      <c r="B13" s="99" t="s">
        <v>63</v>
      </c>
      <c r="C13" s="225">
        <v>71.150000000000006</v>
      </c>
      <c r="D13" s="225">
        <v>85.14</v>
      </c>
      <c r="E13" s="225">
        <v>125.38</v>
      </c>
      <c r="F13" s="225">
        <v>139.61000000000001</v>
      </c>
      <c r="G13" s="225">
        <v>154.63999999999999</v>
      </c>
      <c r="H13" s="225">
        <v>159.75</v>
      </c>
      <c r="I13" s="100">
        <f t="shared" si="0"/>
        <v>3.304449042938451E-2</v>
      </c>
      <c r="J13" s="225">
        <f t="shared" si="1"/>
        <v>5.1100000000000136</v>
      </c>
      <c r="K13" s="226">
        <v>125.19</v>
      </c>
      <c r="L13" s="226">
        <v>134.22999999999999</v>
      </c>
      <c r="M13" s="226">
        <v>142.44</v>
      </c>
      <c r="N13" s="226">
        <v>149.36000000000001</v>
      </c>
      <c r="O13" s="226">
        <v>144.59</v>
      </c>
      <c r="P13" s="100">
        <f t="shared" si="2"/>
        <v>-3.1936261381896203E-2</v>
      </c>
      <c r="Q13" s="225">
        <f t="shared" si="3"/>
        <v>-4.7700000000000102</v>
      </c>
    </row>
    <row r="14" spans="2:17" x14ac:dyDescent="0.25">
      <c r="B14" s="99" t="s">
        <v>70</v>
      </c>
      <c r="C14" s="225">
        <v>31.55</v>
      </c>
      <c r="D14" s="225">
        <v>34.18</v>
      </c>
      <c r="E14" s="225">
        <v>49.88</v>
      </c>
      <c r="F14" s="225">
        <v>53.68</v>
      </c>
      <c r="G14" s="225">
        <v>55.19</v>
      </c>
      <c r="H14" s="225">
        <v>61.52</v>
      </c>
      <c r="I14" s="100">
        <f t="shared" si="0"/>
        <v>0.11469469106722241</v>
      </c>
      <c r="J14" s="225">
        <f t="shared" si="1"/>
        <v>6.3300000000000054</v>
      </c>
      <c r="K14" s="226">
        <v>47.24</v>
      </c>
      <c r="L14" s="226">
        <v>44.65</v>
      </c>
      <c r="M14" s="226">
        <v>45.56</v>
      </c>
      <c r="N14" s="226">
        <v>56.6</v>
      </c>
      <c r="O14" s="226">
        <v>82.37</v>
      </c>
      <c r="P14" s="100">
        <f t="shared" si="2"/>
        <v>0.45530035335689045</v>
      </c>
      <c r="Q14" s="225">
        <f t="shared" si="3"/>
        <v>25.770000000000003</v>
      </c>
    </row>
    <row r="15" spans="2:17" x14ac:dyDescent="0.25">
      <c r="B15" s="96" t="s">
        <v>65</v>
      </c>
      <c r="C15" s="223">
        <v>40.36</v>
      </c>
      <c r="D15" s="223">
        <v>37.26</v>
      </c>
      <c r="E15" s="223">
        <v>61.52</v>
      </c>
      <c r="F15" s="223">
        <v>67.89</v>
      </c>
      <c r="G15" s="223">
        <v>72.16</v>
      </c>
      <c r="H15" s="223">
        <v>79.77</v>
      </c>
      <c r="I15" s="98">
        <f t="shared" si="0"/>
        <v>0.10546008869179602</v>
      </c>
      <c r="J15" s="223">
        <f t="shared" si="1"/>
        <v>7.6099999999999994</v>
      </c>
      <c r="K15" s="224">
        <v>62.32</v>
      </c>
      <c r="L15" s="224">
        <v>69.98</v>
      </c>
      <c r="M15" s="224">
        <v>69.77</v>
      </c>
      <c r="N15" s="224">
        <v>75.510000000000005</v>
      </c>
      <c r="O15" s="224">
        <v>87.24</v>
      </c>
      <c r="P15" s="98">
        <f t="shared" si="2"/>
        <v>0.15534366309098124</v>
      </c>
      <c r="Q15" s="223">
        <f t="shared" si="3"/>
        <v>11.72999999999999</v>
      </c>
    </row>
    <row r="16" spans="2:17" x14ac:dyDescent="0.25">
      <c r="B16" s="93" t="s">
        <v>53</v>
      </c>
      <c r="C16" s="227">
        <v>33.54</v>
      </c>
      <c r="D16" s="227">
        <v>37.840000000000003</v>
      </c>
      <c r="E16" s="227">
        <v>53.16</v>
      </c>
      <c r="F16" s="227">
        <v>62.01</v>
      </c>
      <c r="G16" s="227">
        <v>69.75</v>
      </c>
      <c r="H16" s="227">
        <v>76.260000000000005</v>
      </c>
      <c r="I16" s="102">
        <f t="shared" si="0"/>
        <v>9.333333333333349E-2</v>
      </c>
      <c r="J16" s="227">
        <f t="shared" si="1"/>
        <v>6.5100000000000051</v>
      </c>
      <c r="K16" s="228">
        <v>45.96</v>
      </c>
      <c r="L16" s="228">
        <v>48.95</v>
      </c>
      <c r="M16" s="228">
        <v>50.51</v>
      </c>
      <c r="N16" s="228">
        <v>60.61</v>
      </c>
      <c r="O16" s="228">
        <v>61.97</v>
      </c>
      <c r="P16" s="102">
        <f t="shared" si="2"/>
        <v>2.2438541494802733E-2</v>
      </c>
      <c r="Q16" s="227">
        <f t="shared" si="3"/>
        <v>1.3599999999999994</v>
      </c>
    </row>
    <row r="17" spans="2:17" x14ac:dyDescent="0.25">
      <c r="B17" s="96" t="s">
        <v>62</v>
      </c>
      <c r="C17" s="223">
        <v>33.54</v>
      </c>
      <c r="D17" s="223">
        <v>37.840000000000003</v>
      </c>
      <c r="E17" s="223">
        <v>53.16</v>
      </c>
      <c r="F17" s="223">
        <v>61.03</v>
      </c>
      <c r="G17" s="223">
        <v>69.75</v>
      </c>
      <c r="H17" s="223">
        <v>76.260000000000005</v>
      </c>
      <c r="I17" s="98">
        <f t="shared" si="0"/>
        <v>9.333333333333349E-2</v>
      </c>
      <c r="J17" s="223">
        <f t="shared" si="1"/>
        <v>6.5100000000000051</v>
      </c>
      <c r="K17" s="224">
        <v>45.96</v>
      </c>
      <c r="L17" s="224">
        <v>48.95</v>
      </c>
      <c r="M17" s="224">
        <v>50.51</v>
      </c>
      <c r="N17" s="224">
        <v>60.61</v>
      </c>
      <c r="O17" s="224">
        <v>61.97</v>
      </c>
      <c r="P17" s="98">
        <f t="shared" si="2"/>
        <v>2.2438541494802733E-2</v>
      </c>
      <c r="Q17" s="223">
        <f t="shared" si="3"/>
        <v>1.3599999999999994</v>
      </c>
    </row>
    <row r="18" spans="2:17" x14ac:dyDescent="0.25">
      <c r="B18" s="99" t="s">
        <v>63</v>
      </c>
      <c r="C18" s="225">
        <v>39.090000000000003</v>
      </c>
      <c r="D18" s="225">
        <v>40.1</v>
      </c>
      <c r="E18" s="225">
        <v>62.85</v>
      </c>
      <c r="F18" s="225">
        <v>72.180000000000007</v>
      </c>
      <c r="G18" s="225">
        <v>84.16</v>
      </c>
      <c r="H18" s="225">
        <v>89.79</v>
      </c>
      <c r="I18" s="100">
        <f t="shared" si="0"/>
        <v>6.68963878326998E-2</v>
      </c>
      <c r="J18" s="225">
        <f t="shared" si="1"/>
        <v>5.6300000000000097</v>
      </c>
      <c r="K18" s="226">
        <v>52.97</v>
      </c>
      <c r="L18" s="226">
        <v>55.39</v>
      </c>
      <c r="M18" s="226">
        <v>61.34</v>
      </c>
      <c r="N18" s="226">
        <v>72.540000000000006</v>
      </c>
      <c r="O18" s="226">
        <v>72.58</v>
      </c>
      <c r="P18" s="100">
        <f t="shared" si="2"/>
        <v>5.514199062583991E-4</v>
      </c>
      <c r="Q18" s="225">
        <f t="shared" si="3"/>
        <v>3.9999999999992042E-2</v>
      </c>
    </row>
    <row r="19" spans="2:17" x14ac:dyDescent="0.25">
      <c r="B19" s="99" t="s">
        <v>70</v>
      </c>
      <c r="C19" s="225">
        <v>27.82</v>
      </c>
      <c r="D19" s="225">
        <v>34.1</v>
      </c>
      <c r="E19" s="225">
        <v>40.229999999999997</v>
      </c>
      <c r="F19" s="225">
        <v>46.85</v>
      </c>
      <c r="G19" s="225">
        <v>49.34</v>
      </c>
      <c r="H19" s="225">
        <v>51.98</v>
      </c>
      <c r="I19" s="100">
        <f t="shared" si="0"/>
        <v>5.3506282934738358E-2</v>
      </c>
      <c r="J19" s="225">
        <f t="shared" si="1"/>
        <v>2.6399999999999935</v>
      </c>
      <c r="K19" s="226">
        <v>35.9</v>
      </c>
      <c r="L19" s="226">
        <v>39.840000000000003</v>
      </c>
      <c r="M19" s="226">
        <v>36.619999999999997</v>
      </c>
      <c r="N19" s="226">
        <v>38.79</v>
      </c>
      <c r="O19" s="226">
        <v>39.17</v>
      </c>
      <c r="P19" s="100">
        <f t="shared" si="2"/>
        <v>9.7963392626967405E-3</v>
      </c>
      <c r="Q19" s="225">
        <f t="shared" si="3"/>
        <v>0.38000000000000256</v>
      </c>
    </row>
    <row r="20" spans="2:17" x14ac:dyDescent="0.25">
      <c r="B20" s="96" t="s">
        <v>65</v>
      </c>
      <c r="C20" s="223">
        <v>0</v>
      </c>
      <c r="D20" s="223">
        <v>0</v>
      </c>
      <c r="E20" s="223">
        <v>0</v>
      </c>
      <c r="F20" s="223">
        <v>0</v>
      </c>
      <c r="G20" s="223">
        <v>0</v>
      </c>
      <c r="H20" s="223">
        <v>0</v>
      </c>
      <c r="I20" s="98" t="str">
        <f t="shared" si="0"/>
        <v>-</v>
      </c>
      <c r="J20" s="223">
        <f t="shared" si="1"/>
        <v>0</v>
      </c>
      <c r="K20" s="224" t="s">
        <v>239</v>
      </c>
      <c r="L20" s="224" t="s">
        <v>239</v>
      </c>
      <c r="M20" s="224" t="s">
        <v>239</v>
      </c>
      <c r="N20" s="224" t="s">
        <v>239</v>
      </c>
      <c r="O20" s="224" t="s">
        <v>239</v>
      </c>
      <c r="P20" s="98" t="str">
        <f t="shared" si="2"/>
        <v>-</v>
      </c>
      <c r="Q20" s="223" t="str">
        <f t="shared" si="3"/>
        <v>-</v>
      </c>
    </row>
    <row r="21" spans="2:17" x14ac:dyDescent="0.25">
      <c r="B21" s="93" t="s">
        <v>48</v>
      </c>
      <c r="C21" s="227">
        <v>38.090000000000003</v>
      </c>
      <c r="D21" s="227">
        <v>36.92</v>
      </c>
      <c r="E21" s="227">
        <v>53.92</v>
      </c>
      <c r="F21" s="227">
        <v>54.7</v>
      </c>
      <c r="G21" s="227">
        <v>63.16</v>
      </c>
      <c r="H21" s="227">
        <v>68.97</v>
      </c>
      <c r="I21" s="102">
        <f t="shared" si="0"/>
        <v>9.1988600379987462E-2</v>
      </c>
      <c r="J21" s="227">
        <f t="shared" si="1"/>
        <v>5.8100000000000023</v>
      </c>
      <c r="K21" s="228">
        <v>44.17</v>
      </c>
      <c r="L21" s="228">
        <v>43.02</v>
      </c>
      <c r="M21" s="228">
        <v>48.91</v>
      </c>
      <c r="N21" s="228">
        <v>59.31</v>
      </c>
      <c r="O21" s="228">
        <v>49.4</v>
      </c>
      <c r="P21" s="102">
        <f t="shared" si="2"/>
        <v>-0.1670881807452369</v>
      </c>
      <c r="Q21" s="227">
        <f t="shared" si="3"/>
        <v>-9.9100000000000037</v>
      </c>
    </row>
    <row r="22" spans="2:17" x14ac:dyDescent="0.25">
      <c r="B22" s="96" t="s">
        <v>62</v>
      </c>
      <c r="C22" s="223">
        <v>35.92</v>
      </c>
      <c r="D22" s="223">
        <v>36.92</v>
      </c>
      <c r="E22" s="223">
        <v>53.99</v>
      </c>
      <c r="F22" s="223">
        <v>54.07</v>
      </c>
      <c r="G22" s="223">
        <v>63.29</v>
      </c>
      <c r="H22" s="223">
        <v>69.45</v>
      </c>
      <c r="I22" s="98">
        <f t="shared" si="0"/>
        <v>9.7329751935534947E-2</v>
      </c>
      <c r="J22" s="223">
        <f t="shared" si="1"/>
        <v>6.1600000000000037</v>
      </c>
      <c r="K22" s="224">
        <v>44.17</v>
      </c>
      <c r="L22" s="224">
        <v>43.04</v>
      </c>
      <c r="M22" s="224">
        <v>48.85</v>
      </c>
      <c r="N22" s="224">
        <v>59.54</v>
      </c>
      <c r="O22" s="224">
        <v>49.85</v>
      </c>
      <c r="P22" s="98">
        <f t="shared" si="2"/>
        <v>-0.16274773261672826</v>
      </c>
      <c r="Q22" s="223">
        <f t="shared" si="3"/>
        <v>-9.6899999999999977</v>
      </c>
    </row>
    <row r="23" spans="2:17" x14ac:dyDescent="0.25">
      <c r="B23" s="96" t="s">
        <v>65</v>
      </c>
      <c r="C23" s="223">
        <v>0</v>
      </c>
      <c r="D23" s="223">
        <v>0</v>
      </c>
      <c r="E23" s="223">
        <v>0</v>
      </c>
      <c r="F23" s="223">
        <v>0</v>
      </c>
      <c r="G23" s="223">
        <v>0</v>
      </c>
      <c r="H23" s="223">
        <v>0</v>
      </c>
      <c r="I23" s="98" t="str">
        <f t="shared" si="0"/>
        <v>-</v>
      </c>
      <c r="J23" s="223">
        <f t="shared" si="1"/>
        <v>0</v>
      </c>
      <c r="K23" s="224">
        <v>0</v>
      </c>
      <c r="L23" s="224">
        <v>0</v>
      </c>
      <c r="M23" s="224">
        <v>0</v>
      </c>
      <c r="N23" s="224">
        <v>0</v>
      </c>
      <c r="O23" s="224">
        <v>0</v>
      </c>
      <c r="P23" s="98" t="str">
        <f t="shared" si="2"/>
        <v>-</v>
      </c>
      <c r="Q23" s="223">
        <f t="shared" si="3"/>
        <v>0</v>
      </c>
    </row>
    <row r="24" spans="2:17" x14ac:dyDescent="0.25">
      <c r="B24" s="93" t="s">
        <v>49</v>
      </c>
      <c r="C24" s="227">
        <v>52.22</v>
      </c>
      <c r="D24" s="227">
        <v>46.13</v>
      </c>
      <c r="E24" s="227">
        <v>94.38</v>
      </c>
      <c r="F24" s="227">
        <v>117.35</v>
      </c>
      <c r="G24" s="227">
        <v>126.66</v>
      </c>
      <c r="H24" s="227">
        <v>163.08000000000001</v>
      </c>
      <c r="I24" s="102">
        <f t="shared" si="0"/>
        <v>0.2875414495499764</v>
      </c>
      <c r="J24" s="227">
        <f t="shared" si="1"/>
        <v>36.420000000000016</v>
      </c>
      <c r="K24" s="228">
        <v>64.5</v>
      </c>
      <c r="L24" s="228">
        <v>137.46</v>
      </c>
      <c r="M24" s="228">
        <v>129.34</v>
      </c>
      <c r="N24" s="228">
        <v>146.66</v>
      </c>
      <c r="O24" s="228">
        <v>150.28</v>
      </c>
      <c r="P24" s="102">
        <f t="shared" si="2"/>
        <v>2.4682940133642362E-2</v>
      </c>
      <c r="Q24" s="227">
        <f t="shared" si="3"/>
        <v>3.6200000000000045</v>
      </c>
    </row>
    <row r="25" spans="2:17" x14ac:dyDescent="0.25">
      <c r="B25" s="96" t="s">
        <v>62</v>
      </c>
      <c r="C25" s="223">
        <v>55.84</v>
      </c>
      <c r="D25" s="223">
        <v>48.11</v>
      </c>
      <c r="E25" s="223">
        <v>95.49</v>
      </c>
      <c r="F25" s="223">
        <v>120.23</v>
      </c>
      <c r="G25" s="223">
        <v>126.93</v>
      </c>
      <c r="H25" s="223">
        <v>168.8</v>
      </c>
      <c r="I25" s="98">
        <f t="shared" si="0"/>
        <v>0.32986685574726238</v>
      </c>
      <c r="J25" s="223">
        <f t="shared" si="1"/>
        <v>41.870000000000005</v>
      </c>
      <c r="K25" s="224">
        <v>61.94</v>
      </c>
      <c r="L25" s="224">
        <v>139.63999999999999</v>
      </c>
      <c r="M25" s="224">
        <v>129.34</v>
      </c>
      <c r="N25" s="224">
        <v>148.37</v>
      </c>
      <c r="O25" s="224">
        <v>153.11000000000001</v>
      </c>
      <c r="P25" s="98">
        <f t="shared" si="2"/>
        <v>3.1947159129203984E-2</v>
      </c>
      <c r="Q25" s="223">
        <f t="shared" si="3"/>
        <v>4.7400000000000091</v>
      </c>
    </row>
    <row r="26" spans="2:17" x14ac:dyDescent="0.25">
      <c r="B26" s="99" t="s">
        <v>68</v>
      </c>
      <c r="C26" s="225">
        <v>0</v>
      </c>
      <c r="D26" s="225">
        <v>0</v>
      </c>
      <c r="E26" s="225">
        <v>0</v>
      </c>
      <c r="F26" s="225">
        <v>0</v>
      </c>
      <c r="G26" s="225">
        <v>0</v>
      </c>
      <c r="H26" s="225">
        <v>0</v>
      </c>
      <c r="I26" s="100" t="str">
        <f t="shared" si="0"/>
        <v>-</v>
      </c>
      <c r="J26" s="225">
        <f t="shared" si="1"/>
        <v>0</v>
      </c>
      <c r="K26" s="226">
        <v>0</v>
      </c>
      <c r="L26" s="226">
        <v>139.63999999999999</v>
      </c>
      <c r="M26" s="226">
        <v>0</v>
      </c>
      <c r="N26" s="226">
        <v>0</v>
      </c>
      <c r="O26" s="226">
        <v>0</v>
      </c>
      <c r="P26" s="100" t="str">
        <f t="shared" si="2"/>
        <v>-</v>
      </c>
      <c r="Q26" s="225">
        <f t="shared" si="3"/>
        <v>0</v>
      </c>
    </row>
    <row r="27" spans="2:17" x14ac:dyDescent="0.25">
      <c r="B27" s="99" t="s">
        <v>177</v>
      </c>
      <c r="C27" s="225">
        <v>0</v>
      </c>
      <c r="D27" s="225">
        <v>0</v>
      </c>
      <c r="E27" s="225">
        <v>0</v>
      </c>
      <c r="F27" s="225">
        <v>0</v>
      </c>
      <c r="G27" s="225">
        <v>0</v>
      </c>
      <c r="H27" s="225">
        <v>0</v>
      </c>
      <c r="I27" s="100" t="str">
        <f t="shared" si="0"/>
        <v>-</v>
      </c>
      <c r="J27" s="225">
        <f t="shared" si="1"/>
        <v>0</v>
      </c>
      <c r="K27" s="226">
        <v>0</v>
      </c>
      <c r="L27" s="226">
        <v>0</v>
      </c>
      <c r="M27" s="226">
        <v>0</v>
      </c>
      <c r="N27" s="226">
        <v>0</v>
      </c>
      <c r="O27" s="226">
        <v>0</v>
      </c>
      <c r="P27" s="100" t="str">
        <f t="shared" si="2"/>
        <v>-</v>
      </c>
      <c r="Q27" s="225">
        <f t="shared" si="3"/>
        <v>0</v>
      </c>
    </row>
    <row r="28" spans="2:17" x14ac:dyDescent="0.25">
      <c r="B28" s="93" t="s">
        <v>50</v>
      </c>
      <c r="C28" s="227">
        <v>28.76</v>
      </c>
      <c r="D28" s="227">
        <v>28.24</v>
      </c>
      <c r="E28" s="227">
        <v>42.01</v>
      </c>
      <c r="F28" s="227">
        <v>52.07</v>
      </c>
      <c r="G28" s="227">
        <v>61.37</v>
      </c>
      <c r="H28" s="227">
        <v>67.099999999999994</v>
      </c>
      <c r="I28" s="102">
        <f t="shared" si="0"/>
        <v>9.3368095160501818E-2</v>
      </c>
      <c r="J28" s="227">
        <f t="shared" si="1"/>
        <v>5.7299999999999969</v>
      </c>
      <c r="K28" s="228">
        <v>42.68</v>
      </c>
      <c r="L28" s="228">
        <v>51.88</v>
      </c>
      <c r="M28" s="228">
        <v>58.42</v>
      </c>
      <c r="N28" s="228">
        <v>67.900000000000006</v>
      </c>
      <c r="O28" s="228">
        <v>62.85</v>
      </c>
      <c r="P28" s="102">
        <f t="shared" si="2"/>
        <v>-7.4374079528718773E-2</v>
      </c>
      <c r="Q28" s="227">
        <f t="shared" si="3"/>
        <v>-5.0500000000000043</v>
      </c>
    </row>
    <row r="29" spans="2:17" x14ac:dyDescent="0.25">
      <c r="B29" s="96" t="s">
        <v>62</v>
      </c>
      <c r="C29" s="223">
        <v>30.7</v>
      </c>
      <c r="D29" s="223">
        <v>30.01</v>
      </c>
      <c r="E29" s="223">
        <v>44.97</v>
      </c>
      <c r="F29" s="223">
        <v>56.03</v>
      </c>
      <c r="G29" s="223">
        <v>65.56</v>
      </c>
      <c r="H29" s="223">
        <v>71.599999999999994</v>
      </c>
      <c r="I29" s="98">
        <f t="shared" si="0"/>
        <v>9.2129347162904107E-2</v>
      </c>
      <c r="J29" s="223">
        <f t="shared" si="1"/>
        <v>6.039999999999992</v>
      </c>
      <c r="K29" s="224">
        <v>46</v>
      </c>
      <c r="L29" s="224">
        <v>56.5</v>
      </c>
      <c r="M29" s="224">
        <v>62.82</v>
      </c>
      <c r="N29" s="224">
        <v>73.14</v>
      </c>
      <c r="O29" s="224">
        <v>66</v>
      </c>
      <c r="P29" s="98">
        <f t="shared" si="2"/>
        <v>-9.7621000820344528E-2</v>
      </c>
      <c r="Q29" s="223">
        <f t="shared" si="3"/>
        <v>-7.1400000000000006</v>
      </c>
    </row>
    <row r="30" spans="2:17" x14ac:dyDescent="0.25">
      <c r="B30" s="99" t="s">
        <v>63</v>
      </c>
      <c r="C30" s="225">
        <v>32.35</v>
      </c>
      <c r="D30" s="225">
        <v>31.51</v>
      </c>
      <c r="E30" s="225">
        <v>47.15</v>
      </c>
      <c r="F30" s="225">
        <v>58.72</v>
      </c>
      <c r="G30" s="225">
        <v>68.16</v>
      </c>
      <c r="H30" s="225">
        <v>75.09</v>
      </c>
      <c r="I30" s="100">
        <f t="shared" si="0"/>
        <v>0.10167253521126773</v>
      </c>
      <c r="J30" s="225">
        <f t="shared" si="1"/>
        <v>6.9300000000000068</v>
      </c>
      <c r="K30" s="226">
        <v>48.68</v>
      </c>
      <c r="L30" s="226">
        <v>60.39</v>
      </c>
      <c r="M30" s="226">
        <v>66.2</v>
      </c>
      <c r="N30" s="226">
        <v>77.010000000000005</v>
      </c>
      <c r="O30" s="226">
        <v>70.72</v>
      </c>
      <c r="P30" s="100">
        <f t="shared" si="2"/>
        <v>-8.167770419426057E-2</v>
      </c>
      <c r="Q30" s="225">
        <f t="shared" si="3"/>
        <v>-6.2900000000000063</v>
      </c>
    </row>
    <row r="31" spans="2:17" x14ac:dyDescent="0.25">
      <c r="B31" s="99" t="s">
        <v>70</v>
      </c>
      <c r="C31" s="225">
        <v>22.76</v>
      </c>
      <c r="D31" s="225">
        <v>23.58</v>
      </c>
      <c r="E31" s="225">
        <v>31.76</v>
      </c>
      <c r="F31" s="225">
        <v>38.83</v>
      </c>
      <c r="G31" s="225">
        <v>48.3</v>
      </c>
      <c r="H31" s="225">
        <v>48.98</v>
      </c>
      <c r="I31" s="100">
        <f t="shared" si="0"/>
        <v>1.4078674948240222E-2</v>
      </c>
      <c r="J31" s="225">
        <f t="shared" si="1"/>
        <v>0.67999999999999972</v>
      </c>
      <c r="K31" s="226">
        <v>27.95</v>
      </c>
      <c r="L31" s="226">
        <v>31.83</v>
      </c>
      <c r="M31" s="226">
        <v>40.11</v>
      </c>
      <c r="N31" s="226">
        <v>48.22</v>
      </c>
      <c r="O31" s="226">
        <v>37.94</v>
      </c>
      <c r="P31" s="100">
        <f t="shared" si="2"/>
        <v>-0.21318954790543343</v>
      </c>
      <c r="Q31" s="225">
        <f t="shared" si="3"/>
        <v>-10.280000000000001</v>
      </c>
    </row>
    <row r="32" spans="2:17" x14ac:dyDescent="0.25">
      <c r="B32" s="96" t="s">
        <v>65</v>
      </c>
      <c r="C32" s="223">
        <v>23.06</v>
      </c>
      <c r="D32" s="223">
        <v>22.18</v>
      </c>
      <c r="E32" s="223">
        <v>30.16</v>
      </c>
      <c r="F32" s="223">
        <v>36.21</v>
      </c>
      <c r="G32" s="223">
        <v>43.58</v>
      </c>
      <c r="H32" s="223">
        <v>48.3</v>
      </c>
      <c r="I32" s="98">
        <f t="shared" si="0"/>
        <v>0.10830656264341432</v>
      </c>
      <c r="J32" s="223">
        <f t="shared" si="1"/>
        <v>4.7199999999999989</v>
      </c>
      <c r="K32" s="224">
        <v>29.75</v>
      </c>
      <c r="L32" s="224">
        <v>33.11</v>
      </c>
      <c r="M32" s="224">
        <v>39.65</v>
      </c>
      <c r="N32" s="224">
        <v>45.91</v>
      </c>
      <c r="O32" s="224">
        <v>48.96</v>
      </c>
      <c r="P32" s="98">
        <f t="shared" si="2"/>
        <v>6.6434328033108336E-2</v>
      </c>
      <c r="Q32" s="223">
        <f t="shared" si="3"/>
        <v>3.0500000000000043</v>
      </c>
    </row>
    <row r="33" spans="2:17" x14ac:dyDescent="0.25">
      <c r="B33" s="93" t="s">
        <v>51</v>
      </c>
      <c r="C33" s="227">
        <v>49.1</v>
      </c>
      <c r="D33" s="227">
        <v>45.63</v>
      </c>
      <c r="E33" s="227">
        <v>64.64</v>
      </c>
      <c r="F33" s="227">
        <v>73.62</v>
      </c>
      <c r="G33" s="227">
        <v>81.849999999999994</v>
      </c>
      <c r="H33" s="227">
        <v>88.52</v>
      </c>
      <c r="I33" s="102">
        <f t="shared" si="0"/>
        <v>8.1490531459987858E-2</v>
      </c>
      <c r="J33" s="227">
        <f t="shared" si="1"/>
        <v>6.6700000000000017</v>
      </c>
      <c r="K33" s="228">
        <v>51.12</v>
      </c>
      <c r="L33" s="228">
        <v>44.64</v>
      </c>
      <c r="M33" s="228">
        <v>46.43</v>
      </c>
      <c r="N33" s="228">
        <v>56.18</v>
      </c>
      <c r="O33" s="228">
        <v>63.32</v>
      </c>
      <c r="P33" s="102">
        <f t="shared" si="2"/>
        <v>0.12709149163403355</v>
      </c>
      <c r="Q33" s="227">
        <f t="shared" si="3"/>
        <v>7.1400000000000006</v>
      </c>
    </row>
    <row r="34" spans="2:17" x14ac:dyDescent="0.25">
      <c r="B34" s="96" t="s">
        <v>62</v>
      </c>
      <c r="C34" s="223">
        <v>49.1</v>
      </c>
      <c r="D34" s="223">
        <v>45.63</v>
      </c>
      <c r="E34" s="223">
        <v>64.64</v>
      </c>
      <c r="F34" s="223">
        <v>71.349999999999994</v>
      </c>
      <c r="G34" s="223">
        <v>81.849999999999994</v>
      </c>
      <c r="H34" s="223">
        <v>88.52</v>
      </c>
      <c r="I34" s="98">
        <f t="shared" si="0"/>
        <v>8.1490531459987858E-2</v>
      </c>
      <c r="J34" s="223">
        <f t="shared" si="1"/>
        <v>6.6700000000000017</v>
      </c>
      <c r="K34" s="224">
        <v>51.12</v>
      </c>
      <c r="L34" s="224">
        <v>44.64</v>
      </c>
      <c r="M34" s="224">
        <v>46.43</v>
      </c>
      <c r="N34" s="224">
        <v>56.18</v>
      </c>
      <c r="O34" s="224">
        <v>63.32</v>
      </c>
      <c r="P34" s="98">
        <f t="shared" si="2"/>
        <v>0.12709149163403355</v>
      </c>
      <c r="Q34" s="223">
        <f t="shared" si="3"/>
        <v>7.1400000000000006</v>
      </c>
    </row>
    <row r="35" spans="2:17" x14ac:dyDescent="0.25">
      <c r="B35" s="93" t="s">
        <v>52</v>
      </c>
      <c r="C35" s="227">
        <v>64.31</v>
      </c>
      <c r="D35" s="227">
        <v>82.55</v>
      </c>
      <c r="E35" s="227">
        <v>96.82</v>
      </c>
      <c r="F35" s="227">
        <v>122.12</v>
      </c>
      <c r="G35" s="227">
        <v>143.97</v>
      </c>
      <c r="H35" s="227">
        <v>163.12</v>
      </c>
      <c r="I35" s="102">
        <f t="shared" si="0"/>
        <v>0.13301382232409531</v>
      </c>
      <c r="J35" s="227">
        <f t="shared" si="1"/>
        <v>19.150000000000006</v>
      </c>
      <c r="K35" s="228">
        <v>83.02</v>
      </c>
      <c r="L35" s="228">
        <v>119.31</v>
      </c>
      <c r="M35" s="228">
        <v>136.03</v>
      </c>
      <c r="N35" s="228">
        <v>169.54</v>
      </c>
      <c r="O35" s="228">
        <v>142.29</v>
      </c>
      <c r="P35" s="102">
        <f t="shared" si="2"/>
        <v>-0.16072903149699191</v>
      </c>
      <c r="Q35" s="227">
        <f t="shared" si="3"/>
        <v>-27.25</v>
      </c>
    </row>
    <row r="36" spans="2:17" x14ac:dyDescent="0.25">
      <c r="B36" s="96" t="s">
        <v>62</v>
      </c>
      <c r="C36" s="223">
        <v>75.77</v>
      </c>
      <c r="D36" s="223">
        <v>86.58</v>
      </c>
      <c r="E36" s="223">
        <v>103.27</v>
      </c>
      <c r="F36" s="223">
        <v>127.35</v>
      </c>
      <c r="G36" s="223">
        <v>152.83000000000001</v>
      </c>
      <c r="H36" s="223">
        <v>172.79</v>
      </c>
      <c r="I36" s="98">
        <f t="shared" si="0"/>
        <v>0.13060263037361763</v>
      </c>
      <c r="J36" s="223">
        <f t="shared" si="1"/>
        <v>19.95999999999998</v>
      </c>
      <c r="K36" s="224">
        <v>87.98</v>
      </c>
      <c r="L36" s="224">
        <v>123.73</v>
      </c>
      <c r="M36" s="224">
        <v>145.38</v>
      </c>
      <c r="N36" s="224">
        <v>179.49</v>
      </c>
      <c r="O36" s="224">
        <v>153.4</v>
      </c>
      <c r="P36" s="98">
        <f t="shared" si="2"/>
        <v>-0.14535628725834304</v>
      </c>
      <c r="Q36" s="223">
        <f t="shared" si="3"/>
        <v>-26.090000000000003</v>
      </c>
    </row>
    <row r="37" spans="2:17" x14ac:dyDescent="0.25">
      <c r="B37" s="96" t="s">
        <v>65</v>
      </c>
      <c r="C37" s="223">
        <v>30.29</v>
      </c>
      <c r="D37" s="223">
        <v>48.86</v>
      </c>
      <c r="E37" s="223">
        <v>62.08</v>
      </c>
      <c r="F37" s="223">
        <v>90.45</v>
      </c>
      <c r="G37" s="223">
        <v>93.94</v>
      </c>
      <c r="H37" s="223">
        <v>110.2</v>
      </c>
      <c r="I37" s="98">
        <f t="shared" si="0"/>
        <v>0.17308920587609111</v>
      </c>
      <c r="J37" s="223">
        <f t="shared" si="1"/>
        <v>16.260000000000005</v>
      </c>
      <c r="K37" s="224">
        <v>54.56</v>
      </c>
      <c r="L37" s="224">
        <v>94.08</v>
      </c>
      <c r="M37" s="224">
        <v>83.21</v>
      </c>
      <c r="N37" s="224">
        <v>117.29</v>
      </c>
      <c r="O37" s="224">
        <v>78.03</v>
      </c>
      <c r="P37" s="98">
        <f t="shared" si="2"/>
        <v>-0.33472589308551459</v>
      </c>
      <c r="Q37" s="223">
        <f t="shared" si="3"/>
        <v>-39.260000000000005</v>
      </c>
    </row>
    <row r="38" spans="2:17" x14ac:dyDescent="0.25">
      <c r="B38" s="93" t="s">
        <v>53</v>
      </c>
      <c r="C38" s="227">
        <v>33.54</v>
      </c>
      <c r="D38" s="227">
        <v>37.840000000000003</v>
      </c>
      <c r="E38" s="227">
        <v>53.16</v>
      </c>
      <c r="F38" s="227">
        <v>62.01</v>
      </c>
      <c r="G38" s="227">
        <v>69.75</v>
      </c>
      <c r="H38" s="227">
        <v>76.260000000000005</v>
      </c>
      <c r="I38" s="102">
        <f t="shared" si="0"/>
        <v>9.333333333333349E-2</v>
      </c>
      <c r="J38" s="227">
        <f t="shared" si="1"/>
        <v>6.5100000000000051</v>
      </c>
      <c r="K38" s="228">
        <v>45.96</v>
      </c>
      <c r="L38" s="228">
        <v>48.95</v>
      </c>
      <c r="M38" s="228">
        <v>50.51</v>
      </c>
      <c r="N38" s="228">
        <v>60.61</v>
      </c>
      <c r="O38" s="228">
        <v>61.97</v>
      </c>
      <c r="P38" s="102">
        <f t="shared" si="2"/>
        <v>2.2438541494802733E-2</v>
      </c>
      <c r="Q38" s="227">
        <f t="shared" si="3"/>
        <v>1.3599999999999994</v>
      </c>
    </row>
    <row r="39" spans="2:17" x14ac:dyDescent="0.25">
      <c r="B39" s="96" t="s">
        <v>62</v>
      </c>
      <c r="C39" s="223">
        <v>33.54</v>
      </c>
      <c r="D39" s="223">
        <v>37.840000000000003</v>
      </c>
      <c r="E39" s="223">
        <v>53.16</v>
      </c>
      <c r="F39" s="223">
        <v>61.03</v>
      </c>
      <c r="G39" s="223">
        <v>69.75</v>
      </c>
      <c r="H39" s="223">
        <v>76.260000000000005</v>
      </c>
      <c r="I39" s="98">
        <f t="shared" si="0"/>
        <v>9.333333333333349E-2</v>
      </c>
      <c r="J39" s="223">
        <f t="shared" si="1"/>
        <v>6.5100000000000051</v>
      </c>
      <c r="K39" s="224">
        <v>45.96</v>
      </c>
      <c r="L39" s="224">
        <v>48.95</v>
      </c>
      <c r="M39" s="224">
        <v>50.51</v>
      </c>
      <c r="N39" s="224">
        <v>60.61</v>
      </c>
      <c r="O39" s="224">
        <v>61.97</v>
      </c>
      <c r="P39" s="98">
        <f t="shared" si="2"/>
        <v>2.2438541494802733E-2</v>
      </c>
      <c r="Q39" s="223">
        <f t="shared" si="3"/>
        <v>1.3599999999999994</v>
      </c>
    </row>
    <row r="40" spans="2:17" x14ac:dyDescent="0.25">
      <c r="B40" s="99" t="s">
        <v>63</v>
      </c>
      <c r="C40" s="225">
        <v>39.090000000000003</v>
      </c>
      <c r="D40" s="225">
        <v>40.1</v>
      </c>
      <c r="E40" s="225">
        <v>62.85</v>
      </c>
      <c r="F40" s="225">
        <v>72.180000000000007</v>
      </c>
      <c r="G40" s="225">
        <v>84.16</v>
      </c>
      <c r="H40" s="225">
        <v>89.79</v>
      </c>
      <c r="I40" s="100">
        <f t="shared" si="0"/>
        <v>6.68963878326998E-2</v>
      </c>
      <c r="J40" s="225">
        <f t="shared" si="1"/>
        <v>5.6300000000000097</v>
      </c>
      <c r="K40" s="226">
        <v>52.97</v>
      </c>
      <c r="L40" s="226">
        <v>55.39</v>
      </c>
      <c r="M40" s="226">
        <v>61.34</v>
      </c>
      <c r="N40" s="226">
        <v>72.540000000000006</v>
      </c>
      <c r="O40" s="226">
        <v>72.58</v>
      </c>
      <c r="P40" s="100">
        <f t="shared" si="2"/>
        <v>5.514199062583991E-4</v>
      </c>
      <c r="Q40" s="225">
        <f t="shared" si="3"/>
        <v>3.9999999999992042E-2</v>
      </c>
    </row>
    <row r="41" spans="2:17" x14ac:dyDescent="0.25">
      <c r="B41" s="99" t="s">
        <v>70</v>
      </c>
      <c r="C41" s="225">
        <v>27.82</v>
      </c>
      <c r="D41" s="225">
        <v>34.1</v>
      </c>
      <c r="E41" s="225">
        <v>40.229999999999997</v>
      </c>
      <c r="F41" s="225">
        <v>46.85</v>
      </c>
      <c r="G41" s="225">
        <v>49.34</v>
      </c>
      <c r="H41" s="225">
        <v>51.98</v>
      </c>
      <c r="I41" s="100">
        <f t="shared" si="0"/>
        <v>5.3506282934738358E-2</v>
      </c>
      <c r="J41" s="225">
        <f t="shared" si="1"/>
        <v>2.6399999999999935</v>
      </c>
      <c r="K41" s="226">
        <v>35.9</v>
      </c>
      <c r="L41" s="226">
        <v>39.840000000000003</v>
      </c>
      <c r="M41" s="226">
        <v>36.619999999999997</v>
      </c>
      <c r="N41" s="226">
        <v>38.79</v>
      </c>
      <c r="O41" s="226">
        <v>39.17</v>
      </c>
      <c r="P41" s="100">
        <f t="shared" si="2"/>
        <v>9.7963392626967405E-3</v>
      </c>
      <c r="Q41" s="225">
        <f t="shared" si="3"/>
        <v>0.38000000000000256</v>
      </c>
    </row>
    <row r="42" spans="2:17" x14ac:dyDescent="0.25">
      <c r="B42" s="93" t="s">
        <v>54</v>
      </c>
      <c r="C42" s="227">
        <v>50.94</v>
      </c>
      <c r="D42" s="227">
        <v>53.72</v>
      </c>
      <c r="E42" s="227">
        <v>88.72</v>
      </c>
      <c r="F42" s="227">
        <v>109.01</v>
      </c>
      <c r="G42" s="227">
        <v>119.74</v>
      </c>
      <c r="H42" s="227">
        <v>101.6</v>
      </c>
      <c r="I42" s="102">
        <f t="shared" si="0"/>
        <v>-0.15149490562886259</v>
      </c>
      <c r="J42" s="227">
        <f t="shared" si="1"/>
        <v>-18.14</v>
      </c>
      <c r="K42" s="228">
        <v>101.08</v>
      </c>
      <c r="L42" s="228">
        <v>115.91</v>
      </c>
      <c r="M42" s="228">
        <v>131.32</v>
      </c>
      <c r="N42" s="228">
        <v>103.28</v>
      </c>
      <c r="O42" s="228">
        <v>102.59</v>
      </c>
      <c r="P42" s="102">
        <f t="shared" si="2"/>
        <v>-6.6808675445391152E-3</v>
      </c>
      <c r="Q42" s="227">
        <f t="shared" si="3"/>
        <v>-0.68999999999999773</v>
      </c>
    </row>
    <row r="43" spans="2:17" x14ac:dyDescent="0.25">
      <c r="B43" s="96" t="s">
        <v>62</v>
      </c>
      <c r="C43" s="223">
        <v>56.41</v>
      </c>
      <c r="D43" s="223">
        <v>62.75</v>
      </c>
      <c r="E43" s="223">
        <v>96.52</v>
      </c>
      <c r="F43" s="223">
        <v>120.21</v>
      </c>
      <c r="G43" s="223">
        <v>129.44</v>
      </c>
      <c r="H43" s="223">
        <v>106.42</v>
      </c>
      <c r="I43" s="98">
        <f t="shared" si="0"/>
        <v>-0.17784301606922126</v>
      </c>
      <c r="J43" s="223">
        <f t="shared" si="1"/>
        <v>-23.019999999999996</v>
      </c>
      <c r="K43" s="224">
        <v>112.95</v>
      </c>
      <c r="L43" s="224">
        <v>128.81</v>
      </c>
      <c r="M43" s="224">
        <v>145.46</v>
      </c>
      <c r="N43" s="224">
        <v>109.81</v>
      </c>
      <c r="O43" s="224">
        <v>111.08</v>
      </c>
      <c r="P43" s="98">
        <f t="shared" si="2"/>
        <v>1.1565431199344278E-2</v>
      </c>
      <c r="Q43" s="223">
        <f t="shared" si="3"/>
        <v>1.269999999999996</v>
      </c>
    </row>
    <row r="44" spans="2:17" x14ac:dyDescent="0.25">
      <c r="B44" s="99" t="s">
        <v>63</v>
      </c>
      <c r="C44" s="225">
        <v>0</v>
      </c>
      <c r="D44" s="225">
        <v>65.540000000000006</v>
      </c>
      <c r="E44" s="225">
        <v>100.75</v>
      </c>
      <c r="F44" s="225">
        <v>127.89</v>
      </c>
      <c r="G44" s="225">
        <v>135.86000000000001</v>
      </c>
      <c r="H44" s="225">
        <v>108.32</v>
      </c>
      <c r="I44" s="100">
        <f t="shared" si="0"/>
        <v>-0.20270867069041676</v>
      </c>
      <c r="J44" s="225">
        <f t="shared" si="1"/>
        <v>-27.54000000000002</v>
      </c>
      <c r="K44" s="226">
        <v>118.45</v>
      </c>
      <c r="L44" s="226">
        <v>136.18</v>
      </c>
      <c r="M44" s="226">
        <v>152.19999999999999</v>
      </c>
      <c r="N44" s="226">
        <v>111.71</v>
      </c>
      <c r="O44" s="226">
        <v>115.04</v>
      </c>
      <c r="P44" s="100">
        <f t="shared" si="2"/>
        <v>2.9809327723570034E-2</v>
      </c>
      <c r="Q44" s="225">
        <f t="shared" si="3"/>
        <v>3.3300000000000125</v>
      </c>
    </row>
    <row r="45" spans="2:17" x14ac:dyDescent="0.25">
      <c r="B45" s="99" t="s">
        <v>70</v>
      </c>
      <c r="C45" s="225">
        <v>0</v>
      </c>
      <c r="D45" s="225">
        <v>51.57</v>
      </c>
      <c r="E45" s="225">
        <v>79.3</v>
      </c>
      <c r="F45" s="225">
        <v>89.45</v>
      </c>
      <c r="G45" s="225">
        <v>103.35</v>
      </c>
      <c r="H45" s="225">
        <v>98.71</v>
      </c>
      <c r="I45" s="100">
        <f t="shared" si="0"/>
        <v>-4.4895984518626086E-2</v>
      </c>
      <c r="J45" s="225">
        <f t="shared" si="1"/>
        <v>-4.6400000000000006</v>
      </c>
      <c r="K45" s="226">
        <v>90.59</v>
      </c>
      <c r="L45" s="226">
        <v>98.86</v>
      </c>
      <c r="M45" s="226">
        <v>118.06</v>
      </c>
      <c r="N45" s="226">
        <v>102.09</v>
      </c>
      <c r="O45" s="226">
        <v>94.98</v>
      </c>
      <c r="P45" s="100">
        <f t="shared" si="2"/>
        <v>-6.9644431384072836E-2</v>
      </c>
      <c r="Q45" s="225">
        <f t="shared" si="3"/>
        <v>-7.1099999999999994</v>
      </c>
    </row>
    <row r="46" spans="2:17" x14ac:dyDescent="0.25">
      <c r="B46" s="96" t="s">
        <v>65</v>
      </c>
      <c r="C46" s="223">
        <v>31.82</v>
      </c>
      <c r="D46" s="223">
        <v>24.11</v>
      </c>
      <c r="E46" s="223">
        <v>48.07</v>
      </c>
      <c r="F46" s="223">
        <v>55.12</v>
      </c>
      <c r="G46" s="223">
        <v>69.489999999999995</v>
      </c>
      <c r="H46" s="223">
        <v>77.48</v>
      </c>
      <c r="I46" s="98">
        <f t="shared" si="0"/>
        <v>0.11498057274427986</v>
      </c>
      <c r="J46" s="223">
        <f t="shared" si="1"/>
        <v>7.9900000000000091</v>
      </c>
      <c r="K46" s="224">
        <v>39.25</v>
      </c>
      <c r="L46" s="224">
        <v>48.64</v>
      </c>
      <c r="M46" s="224">
        <v>57.59</v>
      </c>
      <c r="N46" s="224">
        <v>70.67</v>
      </c>
      <c r="O46" s="224">
        <v>63.59</v>
      </c>
      <c r="P46" s="98">
        <f t="shared" si="2"/>
        <v>-0.10018395358709498</v>
      </c>
      <c r="Q46" s="223">
        <f t="shared" si="3"/>
        <v>-7.0799999999999983</v>
      </c>
    </row>
    <row r="47" spans="2:17" x14ac:dyDescent="0.25">
      <c r="B47" s="93" t="s">
        <v>55</v>
      </c>
      <c r="C47" s="227">
        <v>22.7</v>
      </c>
      <c r="D47" s="227">
        <v>29.35</v>
      </c>
      <c r="E47" s="227">
        <v>43.18</v>
      </c>
      <c r="F47" s="227">
        <v>54</v>
      </c>
      <c r="G47" s="227">
        <v>56.56</v>
      </c>
      <c r="H47" s="227">
        <v>58.49</v>
      </c>
      <c r="I47" s="102">
        <f t="shared" si="0"/>
        <v>3.4123055162659011E-2</v>
      </c>
      <c r="J47" s="227">
        <f t="shared" si="1"/>
        <v>1.9299999999999997</v>
      </c>
      <c r="K47" s="228">
        <v>36.11</v>
      </c>
      <c r="L47" s="228">
        <v>43.74</v>
      </c>
      <c r="M47" s="228">
        <v>39.58</v>
      </c>
      <c r="N47" s="228">
        <v>42.01</v>
      </c>
      <c r="O47" s="228">
        <v>62.02</v>
      </c>
      <c r="P47" s="102">
        <f t="shared" si="2"/>
        <v>0.4763151630564153</v>
      </c>
      <c r="Q47" s="227">
        <f t="shared" si="3"/>
        <v>20.010000000000005</v>
      </c>
    </row>
    <row r="48" spans="2:17" x14ac:dyDescent="0.25">
      <c r="B48" s="96" t="s">
        <v>62</v>
      </c>
      <c r="C48" s="223">
        <v>22.26</v>
      </c>
      <c r="D48" s="223">
        <v>29.29</v>
      </c>
      <c r="E48" s="223">
        <v>43.74</v>
      </c>
      <c r="F48" s="223">
        <v>53.7</v>
      </c>
      <c r="G48" s="223">
        <v>58.12</v>
      </c>
      <c r="H48" s="223">
        <v>60.3</v>
      </c>
      <c r="I48" s="98">
        <f t="shared" si="0"/>
        <v>3.7508602890571119E-2</v>
      </c>
      <c r="J48" s="223">
        <f t="shared" si="1"/>
        <v>2.1799999999999997</v>
      </c>
      <c r="K48" s="224">
        <v>36.25</v>
      </c>
      <c r="L48" s="224">
        <v>43.06</v>
      </c>
      <c r="M48" s="224">
        <v>40.200000000000003</v>
      </c>
      <c r="N48" s="224">
        <v>42.25</v>
      </c>
      <c r="O48" s="224">
        <v>65.59</v>
      </c>
      <c r="P48" s="98">
        <f t="shared" si="2"/>
        <v>0.55242603550295866</v>
      </c>
      <c r="Q48" s="223">
        <f t="shared" si="3"/>
        <v>23.340000000000003</v>
      </c>
    </row>
    <row r="49" spans="2:17" x14ac:dyDescent="0.25">
      <c r="B49" s="99" t="s">
        <v>63</v>
      </c>
      <c r="C49" s="225">
        <v>22.57</v>
      </c>
      <c r="D49" s="225">
        <v>31.13</v>
      </c>
      <c r="E49" s="225">
        <v>47.77</v>
      </c>
      <c r="F49" s="225">
        <v>58.76</v>
      </c>
      <c r="G49" s="225">
        <v>61.8</v>
      </c>
      <c r="H49" s="225">
        <v>64.489999999999995</v>
      </c>
      <c r="I49" s="100">
        <f t="shared" si="0"/>
        <v>4.3527508090614786E-2</v>
      </c>
      <c r="J49" s="225">
        <f t="shared" si="1"/>
        <v>2.6899999999999977</v>
      </c>
      <c r="K49" s="226">
        <v>40.590000000000003</v>
      </c>
      <c r="L49" s="226">
        <v>46.48</v>
      </c>
      <c r="M49" s="226">
        <v>41.67</v>
      </c>
      <c r="N49" s="226">
        <v>44.29</v>
      </c>
      <c r="O49" s="226">
        <v>75.17</v>
      </c>
      <c r="P49" s="100">
        <f t="shared" si="2"/>
        <v>0.69722284940167079</v>
      </c>
      <c r="Q49" s="225">
        <f t="shared" si="3"/>
        <v>30.880000000000003</v>
      </c>
    </row>
    <row r="50" spans="2:17" x14ac:dyDescent="0.25">
      <c r="B50" s="99" t="s">
        <v>70</v>
      </c>
      <c r="C50" s="225">
        <v>21.23</v>
      </c>
      <c r="D50" s="225">
        <v>23.12</v>
      </c>
      <c r="E50" s="225">
        <v>33.61</v>
      </c>
      <c r="F50" s="225">
        <v>39.25</v>
      </c>
      <c r="G50" s="225">
        <v>48.36</v>
      </c>
      <c r="H50" s="225">
        <v>49.31</v>
      </c>
      <c r="I50" s="100">
        <f t="shared" si="0"/>
        <v>1.9644334160463295E-2</v>
      </c>
      <c r="J50" s="225">
        <f t="shared" si="1"/>
        <v>0.95000000000000284</v>
      </c>
      <c r="K50" s="226">
        <v>25.88</v>
      </c>
      <c r="L50" s="226">
        <v>32.79</v>
      </c>
      <c r="M50" s="226">
        <v>36.159999999999997</v>
      </c>
      <c r="N50" s="226">
        <v>36.619999999999997</v>
      </c>
      <c r="O50" s="226">
        <v>39.270000000000003</v>
      </c>
      <c r="P50" s="100">
        <f t="shared" si="2"/>
        <v>7.2364827962861922E-2</v>
      </c>
      <c r="Q50" s="225">
        <f t="shared" si="3"/>
        <v>2.6500000000000057</v>
      </c>
    </row>
    <row r="51" spans="2:17" x14ac:dyDescent="0.25">
      <c r="B51" s="96" t="s">
        <v>65</v>
      </c>
      <c r="C51" s="223">
        <v>16.5</v>
      </c>
      <c r="D51" s="223">
        <v>23.32</v>
      </c>
      <c r="E51" s="223">
        <v>69.849999999999994</v>
      </c>
      <c r="F51" s="223">
        <v>82.76</v>
      </c>
      <c r="G51" s="223">
        <v>71.290000000000006</v>
      </c>
      <c r="H51" s="223">
        <v>74.64</v>
      </c>
      <c r="I51" s="98">
        <f t="shared" si="0"/>
        <v>4.6991162855940516E-2</v>
      </c>
      <c r="J51" s="223">
        <f t="shared" si="1"/>
        <v>3.3499999999999943</v>
      </c>
      <c r="K51" s="224">
        <v>75.7</v>
      </c>
      <c r="L51" s="224">
        <v>83.94</v>
      </c>
      <c r="M51" s="224">
        <v>34.659999999999997</v>
      </c>
      <c r="N51" s="224">
        <v>86.08</v>
      </c>
      <c r="O51" s="224">
        <v>74.599999999999994</v>
      </c>
      <c r="P51" s="98">
        <f t="shared" si="2"/>
        <v>-0.13336431226765799</v>
      </c>
      <c r="Q51" s="223">
        <f t="shared" si="3"/>
        <v>-11.480000000000004</v>
      </c>
    </row>
    <row r="52" spans="2:17" ht="6.95" customHeight="1" x14ac:dyDescent="0.25">
      <c r="B52" s="103"/>
      <c r="C52" s="104"/>
      <c r="D52" s="104"/>
      <c r="E52" s="104"/>
      <c r="F52" s="104"/>
      <c r="G52" s="105"/>
      <c r="H52" s="104"/>
      <c r="I52" s="106"/>
      <c r="J52" s="104"/>
      <c r="K52" s="104"/>
      <c r="L52" s="104"/>
      <c r="M52" s="104"/>
      <c r="N52" s="104"/>
      <c r="O52" s="106"/>
      <c r="P52" s="106"/>
      <c r="Q52" s="106"/>
    </row>
    <row r="53" spans="2:17" ht="15" customHeight="1" x14ac:dyDescent="0.25">
      <c r="B53" s="107" t="s">
        <v>57</v>
      </c>
      <c r="C53" s="107"/>
      <c r="D53" s="107"/>
      <c r="E53" s="107"/>
      <c r="F53" s="107"/>
      <c r="G53" s="107"/>
      <c r="H53" s="107"/>
      <c r="I53" s="107"/>
      <c r="J53" s="107"/>
      <c r="K53" s="107"/>
      <c r="L53" s="107"/>
      <c r="M53" s="107"/>
      <c r="N53" s="107"/>
      <c r="O53" s="107"/>
      <c r="P53" s="107"/>
      <c r="Q53" s="107"/>
    </row>
  </sheetData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76CCE-FFDC-4D69-BCF1-3D30EFFACFF9}">
  <sheetPr>
    <tabColor theme="4"/>
  </sheetPr>
  <dimension ref="B4:B25"/>
  <sheetViews>
    <sheetView showGridLines="0" workbookViewId="0"/>
  </sheetViews>
  <sheetFormatPr baseColWidth="10" defaultRowHeight="15" x14ac:dyDescent="0.25"/>
  <sheetData>
    <row r="4" ht="15" customHeight="1" x14ac:dyDescent="0.25"/>
    <row r="5" ht="15" customHeight="1" x14ac:dyDescent="0.25"/>
    <row r="6" ht="15" customHeight="1" x14ac:dyDescent="0.25"/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12" ht="15" customHeight="1" x14ac:dyDescent="0.25"/>
    <row r="13" ht="15" customHeight="1" x14ac:dyDescent="0.25"/>
    <row r="14" ht="15" customHeight="1" x14ac:dyDescent="0.25"/>
    <row r="15" ht="15" customHeight="1" x14ac:dyDescent="0.25"/>
    <row r="16" ht="15" customHeight="1" x14ac:dyDescent="0.25"/>
    <row r="17" spans="2:2" ht="15" customHeight="1" x14ac:dyDescent="0.25"/>
    <row r="18" spans="2:2" ht="15" customHeight="1" x14ac:dyDescent="0.25"/>
    <row r="19" spans="2:2" ht="15" customHeight="1" x14ac:dyDescent="0.25"/>
    <row r="20" spans="2:2" ht="15" customHeight="1" x14ac:dyDescent="0.25"/>
    <row r="21" spans="2:2" ht="15" customHeight="1" x14ac:dyDescent="0.25"/>
    <row r="22" spans="2:2" ht="15" customHeight="1" x14ac:dyDescent="0.25"/>
    <row r="23" spans="2:2" ht="15" customHeight="1" x14ac:dyDescent="0.25"/>
    <row r="24" spans="2:2" ht="15" customHeight="1" x14ac:dyDescent="0.25"/>
    <row r="25" spans="2:2" x14ac:dyDescent="0.25">
      <c r="B25" t="s">
        <v>165</v>
      </c>
    </row>
  </sheetData>
  <pageMargins left="0.7" right="0.7" top="0.75" bottom="0.75" header="0.3" footer="0.3"/>
  <headerFooter>
    <oddFooter>&amp;R_x000D_&amp;1#&amp;"Aptos"&amp;8&amp;K000000 Documento interno</oddFooter>
  </headerFooter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9F3AE-04CB-4546-B45E-F5E453BE6366}">
  <sheetPr>
    <tabColor theme="4" tint="0.39997558519241921"/>
  </sheetPr>
  <dimension ref="A1:AE131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28.7109375" customWidth="1"/>
    <col min="3" max="4" width="14.28515625" customWidth="1"/>
    <col min="5" max="12" width="14.7109375" customWidth="1"/>
    <col min="13" max="13" width="11.42578125" customWidth="1"/>
    <col min="14" max="14" width="14.7109375" customWidth="1"/>
    <col min="20" max="20" width="12.42578125" customWidth="1"/>
    <col min="27" max="27" width="14" customWidth="1"/>
    <col min="31" max="31" width="11.42578125" style="1"/>
  </cols>
  <sheetData>
    <row r="1" spans="1:31" ht="30" customHeight="1" x14ac:dyDescent="0.25">
      <c r="B1" s="1" t="s">
        <v>315</v>
      </c>
      <c r="C1" s="1"/>
      <c r="D1" s="1"/>
      <c r="F1" s="229"/>
      <c r="G1" s="229"/>
      <c r="H1" s="229"/>
      <c r="J1" s="229"/>
    </row>
    <row r="3" spans="1:31" s="4" customFormat="1" ht="25.5" customHeight="1" thickBot="1" x14ac:dyDescent="0.3">
      <c r="B3" s="66" t="s">
        <v>316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172" t="s">
        <v>270</v>
      </c>
      <c r="D5" s="172" t="s">
        <v>271</v>
      </c>
      <c r="E5" s="172" t="s">
        <v>272</v>
      </c>
      <c r="F5" s="172" t="s">
        <v>273</v>
      </c>
      <c r="G5" s="173" t="str">
        <f>CONCATENATE("var. ",RIGHT(F5,2),"/",RIGHT(E5,2))</f>
        <v>var. 24/23</v>
      </c>
      <c r="H5" s="173" t="str">
        <f>CONCATENATE("dif. ",RIGHT(F5,2),"/",RIGHT(E5,2))</f>
        <v>dif. 24/23</v>
      </c>
      <c r="I5" s="173" t="str">
        <f>CONCATENATE("%/s total España ",RIGHT(F5,4))</f>
        <v>%/s total España 2024</v>
      </c>
      <c r="J5" s="172" t="s">
        <v>274</v>
      </c>
      <c r="K5" s="173" t="str">
        <f>CONCATENATE("var. ",RIGHT(J5,2),"/",RIGHT(F5,2))</f>
        <v>var. 25/24</v>
      </c>
      <c r="L5" s="173" t="str">
        <f>CONCATENATE("dif. ",RIGHT(J5,2),"/",RIGHT(F5,2))</f>
        <v>dif. 25/24</v>
      </c>
      <c r="M5" s="173" t="str">
        <f>CONCATENATE("%/s total España ",RIGHT(J5,4))</f>
        <v>%/s total España 2025</v>
      </c>
      <c r="N5" s="172" t="s">
        <v>275</v>
      </c>
      <c r="O5" s="173" t="str">
        <f>CONCATENATE("var. ",RIGHT(N5,2),"/",RIGHT(J5,2))</f>
        <v>var. 26/25</v>
      </c>
      <c r="P5" s="173" t="str">
        <f>CONCATENATE("dif. ",RIGHT(N5,2),"/",RIGHT(J5,2))</f>
        <v>dif. 26/25</v>
      </c>
      <c r="Q5" s="173" t="str">
        <f>CONCATENATE("var. ",RIGHT(N5,2),"/",RIGHT(C5,2))</f>
        <v>var. 26/21</v>
      </c>
      <c r="R5" s="173" t="str">
        <f>CONCATENATE("dif. ",RIGHT(N5,2),"/",RIGHT(C5,2))</f>
        <v>dif. 26/21</v>
      </c>
      <c r="S5" s="173" t="str">
        <f>CONCATENATE("%/s total España ",RIGHT(N5,4))</f>
        <v>%/s total España 2026</v>
      </c>
      <c r="T5" s="173" t="str">
        <f>CONCATENATE("%/s total Turistas ",RIGHT(N5,4))</f>
        <v>%/s total Turistas 2026</v>
      </c>
      <c r="AE5" s="1"/>
    </row>
    <row r="6" spans="1:31" s="4" customFormat="1" ht="18.75" x14ac:dyDescent="0.3">
      <c r="B6" s="230" t="s">
        <v>178</v>
      </c>
      <c r="C6" s="231">
        <v>73201</v>
      </c>
      <c r="D6" s="231">
        <v>122504</v>
      </c>
      <c r="E6" s="231">
        <v>144321</v>
      </c>
      <c r="F6" s="231">
        <v>146578</v>
      </c>
      <c r="G6" s="232">
        <f t="shared" ref="G6:G11" si="0">F6/E6-1</f>
        <v>1.5638749731501367E-2</v>
      </c>
      <c r="H6" s="231">
        <f t="shared" ref="H6:H11" si="1">F6-E6</f>
        <v>2257</v>
      </c>
      <c r="I6" s="232"/>
      <c r="J6" s="231">
        <v>164634</v>
      </c>
      <c r="K6" s="232">
        <f t="shared" ref="K6:K11" si="2">J6/F6-1</f>
        <v>0.12318356097095062</v>
      </c>
      <c r="L6" s="231">
        <f t="shared" ref="L6:L11" si="3">J6-F6</f>
        <v>18056</v>
      </c>
      <c r="M6" s="232"/>
      <c r="N6" s="231">
        <v>168537</v>
      </c>
      <c r="O6" s="232">
        <f t="shared" ref="O6:O11" si="4">N6/J6-1</f>
        <v>2.3707132184117574E-2</v>
      </c>
      <c r="P6" s="231">
        <f t="shared" ref="P6:P11" si="5">N6-J6</f>
        <v>3903</v>
      </c>
      <c r="Q6" s="232">
        <f>N6/C6-1</f>
        <v>1.302386579418314</v>
      </c>
      <c r="R6" s="231">
        <f>N6-C6</f>
        <v>95336</v>
      </c>
      <c r="S6" s="232"/>
      <c r="T6" s="232"/>
      <c r="V6" s="29"/>
      <c r="AE6" s="1"/>
    </row>
    <row r="7" spans="1:31" ht="18.75" x14ac:dyDescent="0.3">
      <c r="A7" s="4"/>
      <c r="B7" s="230" t="s">
        <v>179</v>
      </c>
      <c r="C7" s="231">
        <v>48582</v>
      </c>
      <c r="D7" s="231">
        <v>75501</v>
      </c>
      <c r="E7" s="231">
        <v>88976</v>
      </c>
      <c r="F7" s="231">
        <v>91656</v>
      </c>
      <c r="G7" s="232">
        <f t="shared" si="0"/>
        <v>3.0120481927710774E-2</v>
      </c>
      <c r="H7" s="231">
        <f t="shared" si="1"/>
        <v>2680</v>
      </c>
      <c r="I7" s="232">
        <f>F7/$F$7</f>
        <v>1</v>
      </c>
      <c r="J7" s="231">
        <v>105634</v>
      </c>
      <c r="K7" s="232">
        <f t="shared" si="2"/>
        <v>0.15250501876582012</v>
      </c>
      <c r="L7" s="231">
        <f t="shared" si="3"/>
        <v>13978</v>
      </c>
      <c r="M7" s="232">
        <f>J7/$J$7</f>
        <v>1</v>
      </c>
      <c r="N7" s="231">
        <v>105943</v>
      </c>
      <c r="O7" s="232">
        <f t="shared" si="4"/>
        <v>2.9251945396369106E-3</v>
      </c>
      <c r="P7" s="231">
        <f t="shared" si="5"/>
        <v>309</v>
      </c>
      <c r="Q7" s="232">
        <f t="shared" ref="Q7:Q11" si="6">N7/C7-1</f>
        <v>1.1807047877814827</v>
      </c>
      <c r="R7" s="231">
        <f t="shared" ref="R7:R11" si="7">N7-C7</f>
        <v>57361</v>
      </c>
      <c r="S7" s="232">
        <f>N7/$N$7</f>
        <v>1</v>
      </c>
      <c r="T7" s="232">
        <f>N7/$N$6</f>
        <v>0.62860380806588467</v>
      </c>
      <c r="V7" s="29"/>
      <c r="W7" s="81"/>
      <c r="AE7" s="1" t="s">
        <v>180</v>
      </c>
    </row>
    <row r="8" spans="1:31" ht="15.75" x14ac:dyDescent="0.25">
      <c r="A8" s="4"/>
      <c r="B8" s="233" t="s">
        <v>105</v>
      </c>
      <c r="C8" s="234">
        <v>23118</v>
      </c>
      <c r="D8" s="234">
        <v>36702</v>
      </c>
      <c r="E8" s="234">
        <v>48024</v>
      </c>
      <c r="F8" s="234">
        <v>48274</v>
      </c>
      <c r="G8" s="235">
        <f t="shared" si="0"/>
        <v>5.2057304680992456E-3</v>
      </c>
      <c r="H8" s="234">
        <f t="shared" si="1"/>
        <v>250</v>
      </c>
      <c r="I8" s="235">
        <f>F8/$F$7</f>
        <v>0.52668674172994678</v>
      </c>
      <c r="J8" s="234">
        <v>50408</v>
      </c>
      <c r="K8" s="235">
        <f t="shared" si="2"/>
        <v>4.4205990802502315E-2</v>
      </c>
      <c r="L8" s="234">
        <f t="shared" si="3"/>
        <v>2134</v>
      </c>
      <c r="M8" s="235">
        <f>J8/$J$7</f>
        <v>0.47719484256962719</v>
      </c>
      <c r="N8" s="234">
        <v>50727</v>
      </c>
      <c r="O8" s="235">
        <f t="shared" si="4"/>
        <v>6.328360577686043E-3</v>
      </c>
      <c r="P8" s="234">
        <f t="shared" si="5"/>
        <v>319</v>
      </c>
      <c r="Q8" s="235">
        <f t="shared" si="6"/>
        <v>1.1942642097067222</v>
      </c>
      <c r="R8" s="234">
        <f t="shared" si="7"/>
        <v>27609</v>
      </c>
      <c r="S8" s="235">
        <f>N8/$N$7</f>
        <v>0.4788140792690409</v>
      </c>
      <c r="T8" s="235">
        <f>N8/$N$6</f>
        <v>0.30098435358407943</v>
      </c>
      <c r="V8" s="29"/>
      <c r="W8" s="81"/>
      <c r="AE8" s="1" t="s">
        <v>181</v>
      </c>
    </row>
    <row r="9" spans="1:31" s="4" customFormat="1" x14ac:dyDescent="0.25">
      <c r="B9" s="236" t="s">
        <v>108</v>
      </c>
      <c r="C9" s="237">
        <v>25464</v>
      </c>
      <c r="D9" s="237">
        <v>38799</v>
      </c>
      <c r="E9" s="237">
        <v>40952</v>
      </c>
      <c r="F9" s="237">
        <v>43382</v>
      </c>
      <c r="G9" s="238">
        <f t="shared" si="0"/>
        <v>5.9337761281500256E-2</v>
      </c>
      <c r="H9" s="239">
        <f t="shared" si="1"/>
        <v>2430</v>
      </c>
      <c r="I9" s="240">
        <f>F9/$F$7</f>
        <v>0.47331325827005322</v>
      </c>
      <c r="J9" s="237">
        <v>55226</v>
      </c>
      <c r="K9" s="238">
        <f t="shared" si="2"/>
        <v>0.27301645843898381</v>
      </c>
      <c r="L9" s="239">
        <f t="shared" si="3"/>
        <v>11844</v>
      </c>
      <c r="M9" s="240">
        <f>J9/$J$7</f>
        <v>0.52280515743037281</v>
      </c>
      <c r="N9" s="237">
        <v>55216</v>
      </c>
      <c r="O9" s="238">
        <f t="shared" si="4"/>
        <v>-1.8107413174950349E-4</v>
      </c>
      <c r="P9" s="239">
        <f t="shared" si="5"/>
        <v>-10</v>
      </c>
      <c r="Q9" s="238">
        <f t="shared" si="6"/>
        <v>1.1683945962928055</v>
      </c>
      <c r="R9" s="239">
        <f t="shared" si="7"/>
        <v>29752</v>
      </c>
      <c r="S9" s="240">
        <f>N9/$N$7</f>
        <v>0.52118592073095915</v>
      </c>
      <c r="T9" s="240">
        <f>N9/$N$6</f>
        <v>0.32761945448180518</v>
      </c>
      <c r="V9" s="29"/>
      <c r="W9" s="81"/>
      <c r="AE9" s="1" t="s">
        <v>182</v>
      </c>
    </row>
    <row r="10" spans="1:31" s="4" customFormat="1" x14ac:dyDescent="0.25">
      <c r="B10" s="241" t="s">
        <v>183</v>
      </c>
      <c r="C10" s="29">
        <v>3999</v>
      </c>
      <c r="D10" s="29">
        <v>5029</v>
      </c>
      <c r="E10" s="29">
        <v>14077</v>
      </c>
      <c r="F10" s="29">
        <v>12467</v>
      </c>
      <c r="G10" s="22">
        <f t="shared" si="0"/>
        <v>-0.11437095972153155</v>
      </c>
      <c r="H10" s="20">
        <f t="shared" si="1"/>
        <v>-1610</v>
      </c>
      <c r="I10" s="31">
        <f>F10/$F$7</f>
        <v>0.13601946408309332</v>
      </c>
      <c r="J10" s="29">
        <v>22696</v>
      </c>
      <c r="K10" s="22">
        <f t="shared" si="2"/>
        <v>0.82048608325980599</v>
      </c>
      <c r="L10" s="20">
        <f t="shared" si="3"/>
        <v>10229</v>
      </c>
      <c r="M10" s="31">
        <f>J10/$J$7</f>
        <v>0.21485506560387754</v>
      </c>
      <c r="N10" s="29">
        <v>17493</v>
      </c>
      <c r="O10" s="22">
        <f t="shared" si="4"/>
        <v>-0.22924744448360945</v>
      </c>
      <c r="P10" s="20">
        <f t="shared" si="5"/>
        <v>-5203</v>
      </c>
      <c r="Q10" s="22">
        <f t="shared" si="6"/>
        <v>3.3743435858964741</v>
      </c>
      <c r="R10" s="20">
        <f t="shared" si="7"/>
        <v>13494</v>
      </c>
      <c r="S10" s="31">
        <f>N10/$N$7</f>
        <v>0.16511709126605817</v>
      </c>
      <c r="T10" s="31">
        <f>N10/$N$6</f>
        <v>0.10379323234660638</v>
      </c>
      <c r="V10" s="29"/>
      <c r="W10" s="81"/>
      <c r="AE10" s="1" t="s">
        <v>184</v>
      </c>
    </row>
    <row r="11" spans="1:31" s="4" customFormat="1" x14ac:dyDescent="0.25">
      <c r="B11" s="241" t="s">
        <v>185</v>
      </c>
      <c r="C11" s="29">
        <f>C9-C10</f>
        <v>21465</v>
      </c>
      <c r="D11" s="29">
        <f>D9-D10</f>
        <v>33770</v>
      </c>
      <c r="E11" s="29">
        <f>E9-E10</f>
        <v>26875</v>
      </c>
      <c r="F11" s="29">
        <f>F9-F10</f>
        <v>30915</v>
      </c>
      <c r="G11" s="22">
        <f t="shared" si="0"/>
        <v>0.1503255813953488</v>
      </c>
      <c r="H11" s="20">
        <f t="shared" si="1"/>
        <v>4040</v>
      </c>
      <c r="I11" s="31">
        <f>F11/$F$7</f>
        <v>0.33729379418695993</v>
      </c>
      <c r="J11" s="29">
        <f>J9-J10</f>
        <v>32530</v>
      </c>
      <c r="K11" s="22">
        <f t="shared" si="2"/>
        <v>5.224001293870284E-2</v>
      </c>
      <c r="L11" s="20">
        <f t="shared" si="3"/>
        <v>1615</v>
      </c>
      <c r="M11" s="31">
        <f>J11/$J$7</f>
        <v>0.30795009182649524</v>
      </c>
      <c r="N11" s="29">
        <f>N9-N10</f>
        <v>37723</v>
      </c>
      <c r="O11" s="22">
        <f t="shared" si="4"/>
        <v>0.1596372579157701</v>
      </c>
      <c r="P11" s="20">
        <f t="shared" si="5"/>
        <v>5193</v>
      </c>
      <c r="Q11" s="22">
        <f t="shared" si="6"/>
        <v>0.75741905427440015</v>
      </c>
      <c r="R11" s="20">
        <f t="shared" si="7"/>
        <v>16258</v>
      </c>
      <c r="S11" s="31">
        <f>N11/$N$7</f>
        <v>0.35606882946490093</v>
      </c>
      <c r="T11" s="31">
        <f>N11/$N$6</f>
        <v>0.22382622213519879</v>
      </c>
      <c r="V11" s="29"/>
      <c r="W11" s="81"/>
      <c r="AE11" s="1" t="s">
        <v>186</v>
      </c>
    </row>
    <row r="12" spans="1:31" s="4" customFormat="1" ht="7.5" customHeight="1" x14ac:dyDescent="0.25">
      <c r="B12" s="242"/>
      <c r="C12" s="242"/>
      <c r="D12" s="242"/>
      <c r="E12" s="242"/>
      <c r="F12" s="242"/>
      <c r="G12" s="242"/>
      <c r="H12" s="242"/>
      <c r="I12" s="242"/>
      <c r="J12" s="242"/>
      <c r="K12" s="242"/>
      <c r="L12" s="242"/>
      <c r="M12" s="242"/>
      <c r="N12" s="242"/>
      <c r="O12" s="242"/>
      <c r="P12" s="242"/>
      <c r="Q12" s="242"/>
      <c r="R12" s="242"/>
      <c r="S12" s="242"/>
      <c r="T12" s="242"/>
      <c r="AE12" s="1" t="s">
        <v>187</v>
      </c>
    </row>
    <row r="13" spans="1:31" s="4" customFormat="1" x14ac:dyDescent="0.25">
      <c r="B13" s="171" t="s">
        <v>188</v>
      </c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AE13" s="1" t="s">
        <v>189</v>
      </c>
    </row>
    <row r="14" spans="1:31" s="4" customFormat="1" x14ac:dyDescent="0.25">
      <c r="AE14" s="1"/>
    </row>
    <row r="37" spans="2:31" s="4" customFormat="1" ht="15.75" hidden="1" customHeight="1" thickBot="1" x14ac:dyDescent="0.3">
      <c r="B37" s="273" t="s">
        <v>190</v>
      </c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85"/>
      <c r="T37" s="85"/>
      <c r="AE37" s="1"/>
    </row>
    <row r="38" spans="2:31" s="4" customFormat="1" ht="6" hidden="1" customHeight="1" thickBot="1" x14ac:dyDescent="0.3">
      <c r="AE38" s="1"/>
    </row>
    <row r="39" spans="2:31" s="4" customFormat="1" ht="30" hidden="1" x14ac:dyDescent="0.25">
      <c r="E39" s="89"/>
      <c r="F39" s="89"/>
      <c r="G39" s="89"/>
      <c r="H39" s="89"/>
      <c r="I39" s="89"/>
      <c r="J39" s="14">
        <v>2020</v>
      </c>
      <c r="K39" s="14"/>
      <c r="L39" s="14"/>
      <c r="M39" s="14" t="s">
        <v>191</v>
      </c>
      <c r="N39" s="14">
        <v>2021</v>
      </c>
      <c r="O39" s="14" t="s">
        <v>191</v>
      </c>
      <c r="P39" s="14" t="s">
        <v>192</v>
      </c>
      <c r="Q39" s="14" t="s">
        <v>193</v>
      </c>
      <c r="R39" s="14" t="s">
        <v>194</v>
      </c>
      <c r="S39" s="89"/>
      <c r="T39" s="89"/>
      <c r="AE39" s="1"/>
    </row>
    <row r="40" spans="2:31" s="4" customFormat="1" ht="18.75" hidden="1" x14ac:dyDescent="0.3">
      <c r="B40" s="230" t="s">
        <v>178</v>
      </c>
      <c r="C40" s="230"/>
      <c r="D40" s="230"/>
      <c r="E40" s="231"/>
      <c r="F40" s="231"/>
      <c r="G40" s="231"/>
      <c r="H40" s="231"/>
      <c r="I40" s="231"/>
      <c r="J40" s="231">
        <v>1824653</v>
      </c>
      <c r="K40" s="231"/>
      <c r="L40" s="231"/>
      <c r="M40" s="232"/>
      <c r="N40" s="231">
        <v>2354005</v>
      </c>
      <c r="O40" s="232"/>
      <c r="P40" s="232">
        <v>1</v>
      </c>
      <c r="Q40" s="232">
        <v>0.2901110512519367</v>
      </c>
      <c r="R40" s="231">
        <v>529352</v>
      </c>
      <c r="S40" s="243"/>
      <c r="T40" s="243"/>
      <c r="AE40" s="1"/>
    </row>
    <row r="41" spans="2:31" ht="18.75" hidden="1" x14ac:dyDescent="0.3">
      <c r="B41" s="230" t="s">
        <v>179</v>
      </c>
      <c r="C41" s="230"/>
      <c r="D41" s="230"/>
      <c r="E41" s="231"/>
      <c r="F41" s="231"/>
      <c r="G41" s="231"/>
      <c r="H41" s="231"/>
      <c r="I41" s="231"/>
      <c r="J41" s="231">
        <v>603938</v>
      </c>
      <c r="K41" s="231"/>
      <c r="L41" s="231"/>
      <c r="M41" s="232">
        <v>1</v>
      </c>
      <c r="N41" s="231">
        <v>936181</v>
      </c>
      <c r="O41" s="232">
        <v>1</v>
      </c>
      <c r="P41" s="232">
        <v>0.39769711619134201</v>
      </c>
      <c r="Q41" s="232">
        <v>0.55012766211101138</v>
      </c>
      <c r="R41" s="231">
        <v>332243</v>
      </c>
      <c r="S41" s="243"/>
      <c r="T41" s="243"/>
      <c r="AE41" s="1" t="s">
        <v>180</v>
      </c>
    </row>
    <row r="42" spans="2:31" ht="15.75" hidden="1" x14ac:dyDescent="0.25">
      <c r="B42" s="233" t="s">
        <v>105</v>
      </c>
      <c r="C42" s="233"/>
      <c r="D42" s="233"/>
      <c r="E42" s="234"/>
      <c r="F42" s="234"/>
      <c r="G42" s="234"/>
      <c r="H42" s="234"/>
      <c r="I42" s="234"/>
      <c r="J42" s="234">
        <v>276550.36166633503</v>
      </c>
      <c r="K42" s="234"/>
      <c r="L42" s="234"/>
      <c r="M42" s="235">
        <v>0.45791184139155844</v>
      </c>
      <c r="N42" s="234">
        <v>430252.45635520399</v>
      </c>
      <c r="O42" s="235">
        <v>0.4595825554622493</v>
      </c>
      <c r="P42" s="235">
        <v>0.18277465695918402</v>
      </c>
      <c r="Q42" s="235">
        <v>0.55578337978930015</v>
      </c>
      <c r="R42" s="234">
        <v>153702.09468886897</v>
      </c>
      <c r="S42" s="244"/>
      <c r="T42" s="244"/>
      <c r="AE42" s="1" t="s">
        <v>181</v>
      </c>
    </row>
    <row r="43" spans="2:31" s="4" customFormat="1" hidden="1" x14ac:dyDescent="0.25">
      <c r="B43" s="236" t="s">
        <v>108</v>
      </c>
      <c r="C43" s="245"/>
      <c r="D43" s="245"/>
      <c r="E43" s="237"/>
      <c r="F43" s="237"/>
      <c r="G43" s="237"/>
      <c r="H43" s="237"/>
      <c r="I43" s="237"/>
      <c r="J43" s="237">
        <v>327387.63833385095</v>
      </c>
      <c r="K43" s="237"/>
      <c r="L43" s="237"/>
      <c r="M43" s="240">
        <v>0.54208815860874948</v>
      </c>
      <c r="N43" s="237">
        <v>505927.5436448183</v>
      </c>
      <c r="O43" s="240">
        <v>0.54041637636826456</v>
      </c>
      <c r="P43" s="240">
        <v>0.21492203442423372</v>
      </c>
      <c r="Q43" s="238">
        <v>0.54534711884540576</v>
      </c>
      <c r="R43" s="239">
        <v>178539.90531096736</v>
      </c>
      <c r="S43" s="246"/>
      <c r="T43" s="246"/>
      <c r="AE43" s="1" t="s">
        <v>182</v>
      </c>
    </row>
    <row r="44" spans="2:31" s="4" customFormat="1" hidden="1" x14ac:dyDescent="0.25">
      <c r="B44" s="241" t="s">
        <v>183</v>
      </c>
      <c r="C44" s="241"/>
      <c r="D44" s="241"/>
      <c r="E44" s="29"/>
      <c r="F44" s="29"/>
      <c r="G44" s="29"/>
      <c r="H44" s="29"/>
      <c r="I44" s="29"/>
      <c r="J44" s="29">
        <v>242109.12821622068</v>
      </c>
      <c r="K44" s="29"/>
      <c r="L44" s="29"/>
      <c r="M44" s="31">
        <v>0.4008840778626625</v>
      </c>
      <c r="N44" s="29">
        <v>391384.01224089495</v>
      </c>
      <c r="O44" s="31">
        <v>0.41806446855992052</v>
      </c>
      <c r="P44" s="31">
        <v>0.16626303352834634</v>
      </c>
      <c r="Q44" s="22">
        <v>0.61656033014732592</v>
      </c>
      <c r="R44" s="20">
        <v>149274.88402467428</v>
      </c>
      <c r="S44" s="20"/>
      <c r="T44" s="20"/>
      <c r="AE44" s="1" t="s">
        <v>184</v>
      </c>
    </row>
    <row r="45" spans="2:31" s="4" customFormat="1" hidden="1" x14ac:dyDescent="0.25">
      <c r="B45" s="241" t="s">
        <v>185</v>
      </c>
      <c r="C45" s="241"/>
      <c r="D45" s="241"/>
      <c r="E45" s="29"/>
      <c r="F45" s="29"/>
      <c r="G45" s="29"/>
      <c r="H45" s="29"/>
      <c r="I45" s="29"/>
      <c r="J45" s="29">
        <v>85278.510117630256</v>
      </c>
      <c r="K45" s="29"/>
      <c r="L45" s="29"/>
      <c r="M45" s="31">
        <v>0.14120408074608695</v>
      </c>
      <c r="N45" s="29">
        <v>114543.53140392336</v>
      </c>
      <c r="O45" s="31">
        <v>0.12235190780834407</v>
      </c>
      <c r="P45" s="31">
        <v>4.8659000895887379E-2</v>
      </c>
      <c r="Q45" s="22">
        <v>0.34316994100771625</v>
      </c>
      <c r="R45" s="20">
        <v>29265.021286293108</v>
      </c>
      <c r="S45" s="20"/>
      <c r="T45" s="20"/>
      <c r="AE45" s="1" t="s">
        <v>186</v>
      </c>
    </row>
    <row r="46" spans="2:31" s="4" customFormat="1" ht="7.5" hidden="1" customHeight="1" x14ac:dyDescent="0.25">
      <c r="B46" s="242"/>
      <c r="C46" s="242"/>
      <c r="D46" s="242"/>
      <c r="E46" s="242"/>
      <c r="F46" s="242"/>
      <c r="G46" s="242"/>
      <c r="H46" s="242"/>
      <c r="I46" s="242"/>
      <c r="J46" s="242"/>
      <c r="K46" s="242"/>
      <c r="L46" s="242"/>
      <c r="M46" s="242"/>
      <c r="N46" s="242"/>
      <c r="O46" s="242"/>
      <c r="P46" s="242"/>
      <c r="Q46" s="242"/>
      <c r="R46" s="242"/>
      <c r="AE46" s="1" t="s">
        <v>187</v>
      </c>
    </row>
    <row r="47" spans="2:31" s="4" customFormat="1" hidden="1" x14ac:dyDescent="0.25">
      <c r="B47" s="291" t="s">
        <v>188</v>
      </c>
      <c r="C47" s="291"/>
      <c r="D47" s="291"/>
      <c r="E47" s="291"/>
      <c r="F47" s="291"/>
      <c r="G47" s="291"/>
      <c r="H47" s="291"/>
      <c r="I47" s="291"/>
      <c r="J47" s="291"/>
      <c r="K47" s="291"/>
      <c r="L47" s="291"/>
      <c r="M47" s="291"/>
      <c r="N47" s="291"/>
      <c r="O47" s="291"/>
      <c r="P47" s="291"/>
      <c r="Q47" s="291"/>
      <c r="R47" s="291"/>
      <c r="S47" s="49"/>
      <c r="T47" s="49"/>
      <c r="AE47" s="1" t="s">
        <v>189</v>
      </c>
    </row>
    <row r="48" spans="2:31" s="4" customFormat="1" hidden="1" x14ac:dyDescent="0.25">
      <c r="AE48" s="1"/>
    </row>
    <row r="49" spans="5:12" hidden="1" x14ac:dyDescent="0.25">
      <c r="E49" s="125"/>
      <c r="F49" s="125"/>
      <c r="G49" s="125"/>
      <c r="H49" s="125"/>
      <c r="I49" s="125"/>
      <c r="J49" s="125">
        <v>0.54208815860874948</v>
      </c>
      <c r="K49" s="125"/>
      <c r="L49" s="125"/>
    </row>
    <row r="50" spans="5:12" hidden="1" x14ac:dyDescent="0.25"/>
    <row r="51" spans="5:12" hidden="1" x14ac:dyDescent="0.25"/>
    <row r="52" spans="5:12" hidden="1" x14ac:dyDescent="0.25"/>
    <row r="53" spans="5:12" hidden="1" x14ac:dyDescent="0.25"/>
    <row r="54" spans="5:12" hidden="1" x14ac:dyDescent="0.25"/>
    <row r="55" spans="5:12" hidden="1" x14ac:dyDescent="0.25"/>
    <row r="56" spans="5:12" hidden="1" x14ac:dyDescent="0.25"/>
    <row r="57" spans="5:12" hidden="1" x14ac:dyDescent="0.25"/>
    <row r="58" spans="5:12" hidden="1" x14ac:dyDescent="0.25"/>
    <row r="59" spans="5:12" hidden="1" x14ac:dyDescent="0.25"/>
    <row r="60" spans="5:12" hidden="1" x14ac:dyDescent="0.25"/>
    <row r="61" spans="5:12" hidden="1" x14ac:dyDescent="0.25"/>
    <row r="62" spans="5:12" hidden="1" x14ac:dyDescent="0.25"/>
    <row r="63" spans="5:12" hidden="1" x14ac:dyDescent="0.25"/>
    <row r="64" spans="5:12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spans="2:31" hidden="1" x14ac:dyDescent="0.25"/>
    <row r="114" spans="2:31" hidden="1" x14ac:dyDescent="0.25"/>
    <row r="115" spans="2:31" hidden="1" x14ac:dyDescent="0.25"/>
    <row r="116" spans="2:31" hidden="1" x14ac:dyDescent="0.25"/>
    <row r="120" spans="2:31" x14ac:dyDescent="0.25">
      <c r="Z120" s="1"/>
      <c r="AE120"/>
    </row>
    <row r="121" spans="2:31" ht="21.75" thickBot="1" x14ac:dyDescent="0.3">
      <c r="B121" s="66" t="s">
        <v>316</v>
      </c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6"/>
      <c r="Z121" s="1"/>
      <c r="AE121"/>
    </row>
    <row r="122" spans="2:31" x14ac:dyDescent="0.25"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Z122" s="1"/>
      <c r="AE122"/>
    </row>
    <row r="123" spans="2:31" ht="30" x14ac:dyDescent="0.25">
      <c r="B123" s="4"/>
      <c r="C123" s="185">
        <v>2021</v>
      </c>
      <c r="D123" s="185">
        <v>2022</v>
      </c>
      <c r="E123" s="185">
        <v>2023</v>
      </c>
      <c r="F123" s="185">
        <v>2024</v>
      </c>
      <c r="G123" s="173" t="str">
        <f>CONCATENATE("var. ",RIGHT(F123,2),"/",RIGHT(E123,2))</f>
        <v>var. 24/23</v>
      </c>
      <c r="H123" s="173" t="str">
        <f>CONCATENATE("dif. ",RIGHT(F123,2),"/",RIGHT(E123,2))</f>
        <v>dif. 24/23</v>
      </c>
      <c r="I123" s="173" t="str">
        <f>CONCATENATE("%/s total España ",RIGHT(F123,4))</f>
        <v>%/s total España 2024</v>
      </c>
      <c r="J123" s="185">
        <v>2025</v>
      </c>
      <c r="K123" s="173" t="str">
        <f>CONCATENATE("%/s total España ",RIGHT(J123,4))</f>
        <v>%/s total España 2025</v>
      </c>
      <c r="L123" s="173" t="str">
        <f>CONCATENATE("var. ",RIGHT(J123,2),"/",RIGHT(F123,2))</f>
        <v>var. 25/24</v>
      </c>
      <c r="M123" s="173" t="str">
        <f>CONCATENATE("dif. ",RIGHT(J123,2),"/",RIGHT(F123,2))</f>
        <v>dif. 25/24</v>
      </c>
      <c r="N123" s="173" t="str">
        <f>CONCATENATE("var. ",RIGHT(J123,2),"/",RIGHT(D123,2))</f>
        <v>var. 25/22</v>
      </c>
      <c r="O123" s="173" t="str">
        <f>CONCATENATE("dif. ",RIGHT(J123,2),"/",RIGHT(D123,2))</f>
        <v>dif. 25/22</v>
      </c>
      <c r="Z123" s="1"/>
      <c r="AE123"/>
    </row>
    <row r="124" spans="2:31" ht="18.75" x14ac:dyDescent="0.3">
      <c r="B124" s="230" t="s">
        <v>178</v>
      </c>
      <c r="C124" s="231">
        <v>164258</v>
      </c>
      <c r="D124" s="231">
        <v>229131</v>
      </c>
      <c r="E124" s="231">
        <v>240044</v>
      </c>
      <c r="F124" s="231">
        <v>250407</v>
      </c>
      <c r="G124" s="232">
        <f t="shared" ref="G124:G129" si="8">F124/E124-1</f>
        <v>4.3171251937144772E-2</v>
      </c>
      <c r="H124" s="231">
        <f t="shared" ref="H124:H129" si="9">F124-E124</f>
        <v>10363</v>
      </c>
      <c r="I124" s="232"/>
      <c r="J124" s="231">
        <v>282601</v>
      </c>
      <c r="K124" s="232"/>
      <c r="L124" s="232">
        <f t="shared" ref="L124:L129" si="10">J124/F124-1</f>
        <v>0.12856669342310711</v>
      </c>
      <c r="M124" s="231">
        <f t="shared" ref="M124:M129" si="11">J124-F124</f>
        <v>32194</v>
      </c>
      <c r="N124" s="232">
        <f t="shared" ref="N124:N129" si="12">J124/D124-1</f>
        <v>0.2333599556585535</v>
      </c>
      <c r="O124" s="231">
        <f t="shared" ref="O124:O129" si="13">J124-D124</f>
        <v>53470</v>
      </c>
      <c r="Z124" s="1"/>
      <c r="AE124"/>
    </row>
    <row r="125" spans="2:31" ht="18.75" x14ac:dyDescent="0.3">
      <c r="B125" s="230" t="s">
        <v>179</v>
      </c>
      <c r="C125" s="231">
        <v>104557</v>
      </c>
      <c r="D125" s="231">
        <v>134886</v>
      </c>
      <c r="E125" s="231">
        <v>147214</v>
      </c>
      <c r="F125" s="231">
        <v>155988</v>
      </c>
      <c r="G125" s="232">
        <f t="shared" si="8"/>
        <v>5.9600309753148561E-2</v>
      </c>
      <c r="H125" s="231">
        <f t="shared" si="9"/>
        <v>8774</v>
      </c>
      <c r="I125" s="232">
        <f>F125/$F$7</f>
        <v>1.7018853102906519</v>
      </c>
      <c r="J125" s="231">
        <v>178403</v>
      </c>
      <c r="K125" s="232">
        <f>J125/$J$125</f>
        <v>1</v>
      </c>
      <c r="L125" s="232">
        <f t="shared" si="10"/>
        <v>0.14369695104751656</v>
      </c>
      <c r="M125" s="231">
        <f t="shared" si="11"/>
        <v>22415</v>
      </c>
      <c r="N125" s="232">
        <f t="shared" si="12"/>
        <v>0.32262058330738541</v>
      </c>
      <c r="O125" s="231">
        <f t="shared" si="13"/>
        <v>43517</v>
      </c>
      <c r="Z125" s="1"/>
      <c r="AE125"/>
    </row>
    <row r="126" spans="2:31" ht="15.75" x14ac:dyDescent="0.25">
      <c r="B126" s="233" t="s">
        <v>105</v>
      </c>
      <c r="C126" s="234">
        <v>51310</v>
      </c>
      <c r="D126" s="234">
        <v>65021</v>
      </c>
      <c r="E126" s="234">
        <v>80189</v>
      </c>
      <c r="F126" s="234">
        <v>80800</v>
      </c>
      <c r="G126" s="235">
        <f t="shared" si="8"/>
        <v>7.6194989337690089E-3</v>
      </c>
      <c r="H126" s="234">
        <f t="shared" si="9"/>
        <v>611</v>
      </c>
      <c r="I126" s="235">
        <f>F126/$F$7</f>
        <v>0.88155712664746444</v>
      </c>
      <c r="J126" s="234">
        <v>84941</v>
      </c>
      <c r="K126" s="235">
        <f>J126/$J$125</f>
        <v>0.47611867513438677</v>
      </c>
      <c r="L126" s="235">
        <f t="shared" si="10"/>
        <v>5.1250000000000018E-2</v>
      </c>
      <c r="M126" s="234">
        <f t="shared" si="11"/>
        <v>4141</v>
      </c>
      <c r="N126" s="235">
        <f t="shared" si="12"/>
        <v>0.30636255978837612</v>
      </c>
      <c r="O126" s="234">
        <f t="shared" si="13"/>
        <v>19920</v>
      </c>
      <c r="Z126" s="1"/>
      <c r="AE126"/>
    </row>
    <row r="127" spans="2:31" x14ac:dyDescent="0.25">
      <c r="B127" s="236" t="s">
        <v>108</v>
      </c>
      <c r="C127" s="237">
        <v>53247</v>
      </c>
      <c r="D127" s="237">
        <v>69865</v>
      </c>
      <c r="E127" s="237">
        <v>67025</v>
      </c>
      <c r="F127" s="237">
        <v>75188</v>
      </c>
      <c r="G127" s="238">
        <f t="shared" si="8"/>
        <v>0.12179037672510251</v>
      </c>
      <c r="H127" s="239">
        <f t="shared" si="9"/>
        <v>8163</v>
      </c>
      <c r="I127" s="240">
        <f>F127/$F$7</f>
        <v>0.8203281836431876</v>
      </c>
      <c r="J127" s="237">
        <v>93462</v>
      </c>
      <c r="K127" s="240">
        <f>J127/$J$125</f>
        <v>0.52388132486561323</v>
      </c>
      <c r="L127" s="238">
        <f t="shared" si="10"/>
        <v>0.24304410278235888</v>
      </c>
      <c r="M127" s="239">
        <f t="shared" si="11"/>
        <v>18274</v>
      </c>
      <c r="N127" s="238">
        <f t="shared" si="12"/>
        <v>0.33775137765690966</v>
      </c>
      <c r="O127" s="239">
        <f t="shared" si="13"/>
        <v>23597</v>
      </c>
      <c r="Z127" s="1"/>
      <c r="AE127"/>
    </row>
    <row r="128" spans="2:31" x14ac:dyDescent="0.25">
      <c r="B128" s="241" t="s">
        <v>183</v>
      </c>
      <c r="C128" s="29">
        <v>8578</v>
      </c>
      <c r="D128" s="29">
        <v>10079</v>
      </c>
      <c r="E128" s="29">
        <v>22988</v>
      </c>
      <c r="F128" s="29">
        <v>22508</v>
      </c>
      <c r="G128" s="22">
        <f t="shared" si="8"/>
        <v>-2.0880459370106186E-2</v>
      </c>
      <c r="H128" s="20">
        <f t="shared" si="9"/>
        <v>-480</v>
      </c>
      <c r="I128" s="31">
        <f>F128/$F$7</f>
        <v>0.24557039364580605</v>
      </c>
      <c r="J128" s="29">
        <v>40230</v>
      </c>
      <c r="K128" s="31">
        <f>J128/$J$125</f>
        <v>0.22550069225293295</v>
      </c>
      <c r="L128" s="22">
        <f t="shared" si="10"/>
        <v>0.78736449262484443</v>
      </c>
      <c r="M128" s="20">
        <f t="shared" si="11"/>
        <v>17722</v>
      </c>
      <c r="N128" s="22">
        <f t="shared" si="12"/>
        <v>2.9914674074809007</v>
      </c>
      <c r="O128" s="20">
        <f t="shared" si="13"/>
        <v>30151</v>
      </c>
      <c r="Z128" s="1"/>
      <c r="AE128"/>
    </row>
    <row r="129" spans="2:31" x14ac:dyDescent="0.25">
      <c r="B129" s="241" t="s">
        <v>185</v>
      </c>
      <c r="C129" s="29">
        <f>C127-C128</f>
        <v>44669</v>
      </c>
      <c r="D129" s="29">
        <f>D127-D128</f>
        <v>59786</v>
      </c>
      <c r="E129" s="29">
        <f>E127-E128</f>
        <v>44037</v>
      </c>
      <c r="F129" s="29">
        <f>F127-F128</f>
        <v>52680</v>
      </c>
      <c r="G129" s="22">
        <f t="shared" si="8"/>
        <v>0.19626677566591733</v>
      </c>
      <c r="H129" s="20">
        <f t="shared" si="9"/>
        <v>8643</v>
      </c>
      <c r="I129" s="31">
        <f>F129/$F$7</f>
        <v>0.57475778999738147</v>
      </c>
      <c r="J129" s="29">
        <f>J127-J128</f>
        <v>53232</v>
      </c>
      <c r="K129" s="31">
        <f>J129/$J$125</f>
        <v>0.29838063261268027</v>
      </c>
      <c r="L129" s="22">
        <f t="shared" si="10"/>
        <v>1.0478359908883794E-2</v>
      </c>
      <c r="M129" s="20">
        <f t="shared" si="11"/>
        <v>552</v>
      </c>
      <c r="N129" s="22">
        <f t="shared" si="12"/>
        <v>-0.10962432676546352</v>
      </c>
      <c r="O129" s="20">
        <f t="shared" si="13"/>
        <v>-6554</v>
      </c>
      <c r="Z129" s="1"/>
      <c r="AE129"/>
    </row>
    <row r="130" spans="2:31" x14ac:dyDescent="0.25">
      <c r="B130" s="242"/>
      <c r="C130" s="242"/>
      <c r="D130" s="242"/>
      <c r="E130" s="242"/>
      <c r="F130" s="242"/>
      <c r="G130" s="242"/>
      <c r="H130" s="242"/>
      <c r="I130" s="242"/>
      <c r="J130" s="242"/>
      <c r="K130" s="242"/>
      <c r="L130" s="242"/>
      <c r="M130" s="242"/>
      <c r="N130" s="242"/>
      <c r="O130" s="242"/>
      <c r="Z130" s="1"/>
      <c r="AE130"/>
    </row>
    <row r="131" spans="2:31" x14ac:dyDescent="0.25">
      <c r="B131" s="171" t="s">
        <v>188</v>
      </c>
      <c r="C131" s="171"/>
      <c r="D131" s="171"/>
      <c r="E131" s="171"/>
      <c r="F131" s="171"/>
      <c r="G131" s="171"/>
      <c r="H131" s="171"/>
      <c r="I131" s="171"/>
      <c r="J131" s="171"/>
      <c r="K131" s="171"/>
      <c r="L131" s="171"/>
      <c r="M131" s="171"/>
      <c r="N131" s="171"/>
      <c r="O131" s="171"/>
      <c r="Z131" s="1"/>
      <c r="AE131"/>
    </row>
  </sheetData>
  <mergeCells count="2">
    <mergeCell ref="B37:R37"/>
    <mergeCell ref="B47:R47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F00994-7B0E-4C82-82F1-86998FD63819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195</v>
      </c>
      <c r="G1" s="229"/>
      <c r="H1" s="229"/>
      <c r="I1" s="229"/>
      <c r="K1" s="229"/>
    </row>
    <row r="3" spans="1:31" s="4" customFormat="1" ht="25.5" customHeight="1" thickBot="1" x14ac:dyDescent="0.3">
      <c r="B3" s="66" t="s">
        <v>317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247" t="s">
        <v>270</v>
      </c>
      <c r="D5" s="247" t="s">
        <v>271</v>
      </c>
      <c r="E5" s="247" t="s">
        <v>272</v>
      </c>
      <c r="F5" s="248" t="str">
        <f>CONCATENATE("%/s total Tenerife ",RIGHT(E5,4))</f>
        <v>%/s total Tenerife 2023</v>
      </c>
      <c r="G5" s="247" t="s">
        <v>273</v>
      </c>
      <c r="H5" s="248" t="str">
        <f>CONCATENATE("var. ",RIGHT(G5,2),"/",RIGHT(E5,2))</f>
        <v>var. 24/23</v>
      </c>
      <c r="I5" s="248" t="str">
        <f>CONCATENATE("dif. ",RIGHT(G5,2),"/",RIGHT(E5,2))</f>
        <v>dif. 24/23</v>
      </c>
      <c r="J5" s="248" t="str">
        <f>CONCATENATE("%/s total Tenerife ",RIGHT(G5,4))</f>
        <v>%/s total Tenerife 2024</v>
      </c>
      <c r="K5" s="247" t="s">
        <v>274</v>
      </c>
      <c r="L5" s="248" t="str">
        <f>CONCATENATE("var. ",RIGHT(K5,2),"/",RIGHT(G5,2))</f>
        <v>var. 25/24</v>
      </c>
      <c r="M5" s="248" t="str">
        <f>CONCATENATE("dif. ",RIGHT(K5,2),"/",RIGHT(G5,2))</f>
        <v>dif. 25/24</v>
      </c>
      <c r="N5" s="248" t="str">
        <f>CONCATENATE("%/s total Tenerife ",RIGHT(K5,4))</f>
        <v>%/s total Tenerife 2025</v>
      </c>
      <c r="O5" s="247" t="s">
        <v>275</v>
      </c>
      <c r="P5" s="248" t="str">
        <f>CONCATENATE("var. ",RIGHT(O5,2),"/",RIGHT(K5,2))</f>
        <v>var. 26/25</v>
      </c>
      <c r="Q5" s="248" t="str">
        <f>CONCATENATE("dif. ",RIGHT(O5,2),"/",RIGHT(K5,2))</f>
        <v>dif. 26/25</v>
      </c>
      <c r="R5" s="248" t="str">
        <f>CONCATENATE("var. ",RIGHT(O5,2),"/",RIGHT(C5,2))</f>
        <v>var. 26/21</v>
      </c>
      <c r="S5" s="248" t="str">
        <f>CONCATENATE("dif. ",RIGHT(O5,2),"/",RIGHT(C5,2))</f>
        <v>dif. 26/21</v>
      </c>
      <c r="T5" s="248" t="str">
        <f>CONCATENATE("%/s total Tenerife ",RIGHT(O5,4))</f>
        <v>%/s total Tenerife 2026</v>
      </c>
      <c r="AE5" s="1"/>
    </row>
    <row r="6" spans="1:31" ht="18.75" x14ac:dyDescent="0.3">
      <c r="A6" s="1"/>
      <c r="B6" s="230" t="s">
        <v>196</v>
      </c>
      <c r="C6" s="249">
        <v>48582</v>
      </c>
      <c r="D6" s="249">
        <v>75501</v>
      </c>
      <c r="E6" s="249">
        <v>88976</v>
      </c>
      <c r="F6" s="250">
        <f>E6/$E$6</f>
        <v>1</v>
      </c>
      <c r="G6" s="249">
        <v>91656</v>
      </c>
      <c r="H6" s="250">
        <f>G6/E6-1</f>
        <v>3.0120481927710774E-2</v>
      </c>
      <c r="I6" s="249">
        <f>G6-E6</f>
        <v>2680</v>
      </c>
      <c r="J6" s="250">
        <f>G6/$G$6</f>
        <v>1</v>
      </c>
      <c r="K6" s="249">
        <v>105634</v>
      </c>
      <c r="L6" s="250">
        <f t="shared" ref="L6:L12" si="0">K6/G6-1</f>
        <v>0.15250501876582012</v>
      </c>
      <c r="M6" s="249">
        <f t="shared" ref="M6:M12" si="1">K6-G6</f>
        <v>13978</v>
      </c>
      <c r="N6" s="250">
        <f>K6/$K$6</f>
        <v>1</v>
      </c>
      <c r="O6" s="249">
        <v>105943</v>
      </c>
      <c r="P6" s="250">
        <f t="shared" ref="P6:P11" si="2">O6/K6-1</f>
        <v>2.9251945396369106E-3</v>
      </c>
      <c r="Q6" s="249">
        <f t="shared" ref="Q6:Q12" si="3">O6-K6</f>
        <v>309</v>
      </c>
      <c r="R6" s="250">
        <f>O6/C6-1</f>
        <v>1.1807047877814827</v>
      </c>
      <c r="S6" s="249">
        <f>O6-C6</f>
        <v>57361</v>
      </c>
      <c r="T6" s="250">
        <f>O6/$O$6</f>
        <v>1</v>
      </c>
      <c r="V6" s="29"/>
      <c r="W6" s="81"/>
      <c r="AE6" s="1" t="s">
        <v>180</v>
      </c>
    </row>
    <row r="7" spans="1:31" s="4" customFormat="1" x14ac:dyDescent="0.25">
      <c r="A7" s="1"/>
      <c r="B7" s="251" t="s">
        <v>197</v>
      </c>
      <c r="C7" s="252">
        <v>48582</v>
      </c>
      <c r="D7" s="252">
        <v>75501</v>
      </c>
      <c r="E7" s="252">
        <v>88976</v>
      </c>
      <c r="F7" s="253">
        <f t="shared" ref="F7:F12" si="4">E7/$E$6</f>
        <v>1</v>
      </c>
      <c r="G7" s="252">
        <v>91656</v>
      </c>
      <c r="H7" s="254">
        <f>G7/E7-1</f>
        <v>3.0120481927710774E-2</v>
      </c>
      <c r="I7" s="255">
        <f>G7-E7</f>
        <v>2680</v>
      </c>
      <c r="J7" s="253">
        <f>G7/$G$6</f>
        <v>1</v>
      </c>
      <c r="K7" s="252">
        <v>105634</v>
      </c>
      <c r="L7" s="256">
        <f t="shared" si="0"/>
        <v>0.15250501876582012</v>
      </c>
      <c r="M7" s="257">
        <f t="shared" si="1"/>
        <v>13978</v>
      </c>
      <c r="N7" s="253">
        <f>K7/$K$6</f>
        <v>1</v>
      </c>
      <c r="O7" s="252">
        <v>105943</v>
      </c>
      <c r="P7" s="254">
        <f t="shared" si="2"/>
        <v>2.9251945396369106E-3</v>
      </c>
      <c r="Q7" s="255">
        <f t="shared" si="3"/>
        <v>309</v>
      </c>
      <c r="R7" s="254">
        <f t="shared" ref="R7:R10" si="5">O7/C7-1</f>
        <v>1.1807047877814827</v>
      </c>
      <c r="S7" s="255">
        <f t="shared" ref="S7:S10" si="6">O7-C7</f>
        <v>57361</v>
      </c>
      <c r="T7" s="253">
        <f>O7/$O$6</f>
        <v>1</v>
      </c>
      <c r="V7" s="29"/>
      <c r="W7" s="81"/>
      <c r="AE7" s="1" t="s">
        <v>182</v>
      </c>
    </row>
    <row r="8" spans="1:31" s="4" customFormat="1" x14ac:dyDescent="0.25">
      <c r="A8" s="108" t="s">
        <v>177</v>
      </c>
      <c r="B8" s="4" t="s">
        <v>70</v>
      </c>
      <c r="C8" s="258">
        <v>15029</v>
      </c>
      <c r="D8" s="258">
        <v>27822</v>
      </c>
      <c r="E8" s="258">
        <v>37695</v>
      </c>
      <c r="F8" s="259">
        <f t="shared" si="4"/>
        <v>0.42365356950188815</v>
      </c>
      <c r="G8" s="258">
        <v>41789</v>
      </c>
      <c r="H8" s="260">
        <f>IFERROR(G8/E8-1,"-")</f>
        <v>0.10860856877569969</v>
      </c>
      <c r="I8" s="261">
        <f t="shared" ref="I8:I12" si="7">G8-E8</f>
        <v>4094</v>
      </c>
      <c r="J8" s="259">
        <f t="shared" ref="J8:J12" si="8">G8/$G$6</f>
        <v>0.45593305402810508</v>
      </c>
      <c r="K8" s="258">
        <v>36182</v>
      </c>
      <c r="L8" s="262">
        <f>IFERROR(K8/G8-1,"-")</f>
        <v>-0.13417406494532058</v>
      </c>
      <c r="M8" s="263">
        <f>IF(G8=0,"nd",K8-G8)</f>
        <v>-5607</v>
      </c>
      <c r="N8" s="264">
        <f t="shared" ref="N8:N12" si="9">K8/$K$6</f>
        <v>0.34252229395838463</v>
      </c>
      <c r="O8" s="258">
        <v>36389</v>
      </c>
      <c r="P8" s="262">
        <f>IFERROR(O8/K8-1,"-")</f>
        <v>5.7210767785087491E-3</v>
      </c>
      <c r="Q8" s="265">
        <f t="shared" si="3"/>
        <v>207</v>
      </c>
      <c r="R8" s="262">
        <f>IFERROR(O8/C8-1,"-")</f>
        <v>1.4212522456583936</v>
      </c>
      <c r="S8" s="265">
        <f t="shared" si="6"/>
        <v>21360</v>
      </c>
      <c r="T8" s="264">
        <f t="shared" ref="T8:T12" si="10">O8/$O$6</f>
        <v>0.34347715280858576</v>
      </c>
      <c r="V8" s="29"/>
      <c r="W8" s="81"/>
      <c r="AE8" s="1"/>
    </row>
    <row r="9" spans="1:31" s="4" customFormat="1" x14ac:dyDescent="0.25">
      <c r="A9" s="108" t="s">
        <v>68</v>
      </c>
      <c r="B9" s="4" t="s">
        <v>63</v>
      </c>
      <c r="C9" s="258">
        <v>33553</v>
      </c>
      <c r="D9" s="258">
        <v>47679</v>
      </c>
      <c r="E9" s="258">
        <v>51281</v>
      </c>
      <c r="F9" s="264">
        <f t="shared" si="4"/>
        <v>0.57634643049811185</v>
      </c>
      <c r="G9" s="258">
        <v>49867</v>
      </c>
      <c r="H9" s="260">
        <f>IFERROR(G9/E9-1,"-")</f>
        <v>-2.757356525808774E-2</v>
      </c>
      <c r="I9" s="265">
        <f t="shared" si="7"/>
        <v>-1414</v>
      </c>
      <c r="J9" s="264">
        <f t="shared" si="8"/>
        <v>0.54406694597189487</v>
      </c>
      <c r="K9" s="258">
        <v>69452</v>
      </c>
      <c r="L9" s="262">
        <f>IFERROR(K9/G9-1,"-")</f>
        <v>0.39274470090440583</v>
      </c>
      <c r="M9" s="263">
        <f>IF(G9=0,"nd",K9-G9)</f>
        <v>19585</v>
      </c>
      <c r="N9" s="264">
        <f t="shared" si="9"/>
        <v>0.65747770604161537</v>
      </c>
      <c r="O9" s="258">
        <v>69554</v>
      </c>
      <c r="P9" s="262">
        <f t="shared" si="2"/>
        <v>1.4686402119450381E-3</v>
      </c>
      <c r="Q9" s="265">
        <f t="shared" si="3"/>
        <v>102</v>
      </c>
      <c r="R9" s="266">
        <f t="shared" si="5"/>
        <v>1.072959198879385</v>
      </c>
      <c r="S9" s="265">
        <f t="shared" si="6"/>
        <v>36001</v>
      </c>
      <c r="T9" s="264">
        <f t="shared" si="10"/>
        <v>0.65652284719141429</v>
      </c>
      <c r="V9" s="29"/>
      <c r="W9" s="81"/>
      <c r="AE9" s="1"/>
    </row>
    <row r="10" spans="1:31" s="4" customFormat="1" x14ac:dyDescent="0.25">
      <c r="A10" s="1"/>
      <c r="B10" s="251" t="s">
        <v>198</v>
      </c>
      <c r="C10" s="267" t="e">
        <v>#REF!</v>
      </c>
      <c r="D10" s="267" t="e">
        <v>#REF!</v>
      </c>
      <c r="E10" s="267" t="e">
        <v>#REF!</v>
      </c>
      <c r="F10" s="268" t="str">
        <f>IFERROR(E10/$E$6,"-")</f>
        <v>-</v>
      </c>
      <c r="G10" s="267" t="e">
        <v>#REF!</v>
      </c>
      <c r="H10" s="256" t="str">
        <f>IFERROR(G10/E10-1,"-")</f>
        <v>-</v>
      </c>
      <c r="I10" s="257" t="str">
        <f>IFERROR(G10-E10,"-")</f>
        <v>-</v>
      </c>
      <c r="J10" s="268" t="str">
        <f>IFERROR(G10/$G$6,"-")</f>
        <v>-</v>
      </c>
      <c r="K10" s="267" t="e">
        <v>#REF!</v>
      </c>
      <c r="L10" s="256" t="str">
        <f>IFERROR(K10/G10-1,"-")</f>
        <v>-</v>
      </c>
      <c r="M10" s="257" t="str">
        <f>IFERROR(K10-G10,"-")</f>
        <v>-</v>
      </c>
      <c r="N10" s="268" t="str">
        <f>IFERROR(K10/$K$6,"-")</f>
        <v>-</v>
      </c>
      <c r="O10" s="267" t="e">
        <v>#REF!</v>
      </c>
      <c r="P10" s="256" t="str">
        <f>IFERROR(O10/K10-1,"-")</f>
        <v>-</v>
      </c>
      <c r="Q10" s="257" t="str">
        <f>IFERROR(O10-K10,"-")</f>
        <v>-</v>
      </c>
      <c r="R10" s="256" t="e">
        <f t="shared" si="5"/>
        <v>#REF!</v>
      </c>
      <c r="S10" s="257" t="e">
        <f t="shared" si="6"/>
        <v>#REF!</v>
      </c>
      <c r="T10" s="268" t="str">
        <f>IFERROR(O10/$O$6,"-")</f>
        <v>-</v>
      </c>
      <c r="V10" s="29"/>
      <c r="W10" s="81"/>
      <c r="AE10" s="1"/>
    </row>
    <row r="11" spans="1:31" s="4" customFormat="1" hidden="1" x14ac:dyDescent="0.25">
      <c r="A11" s="1"/>
      <c r="B11" s="99" t="s">
        <v>177</v>
      </c>
      <c r="C11" s="258" t="e">
        <v>#REF!</v>
      </c>
      <c r="D11" s="258" t="e">
        <v>#REF!</v>
      </c>
      <c r="E11" s="258" t="e">
        <v>#REF!</v>
      </c>
      <c r="F11" s="264" t="e">
        <f t="shared" si="4"/>
        <v>#REF!</v>
      </c>
      <c r="G11" s="258" t="e">
        <v>#REF!</v>
      </c>
      <c r="H11" s="266" t="e">
        <f t="shared" ref="H11:H12" si="11">G11/E11-1</f>
        <v>#REF!</v>
      </c>
      <c r="I11" s="265" t="e">
        <f t="shared" si="7"/>
        <v>#REF!</v>
      </c>
      <c r="J11" s="264" t="e">
        <f t="shared" si="8"/>
        <v>#REF!</v>
      </c>
      <c r="K11" s="258" t="e">
        <v>#REF!</v>
      </c>
      <c r="L11" s="262" t="e">
        <f>K11/G11-1</f>
        <v>#REF!</v>
      </c>
      <c r="M11" s="265" t="e">
        <f t="shared" si="1"/>
        <v>#REF!</v>
      </c>
      <c r="N11" s="264" t="e">
        <f t="shared" si="9"/>
        <v>#REF!</v>
      </c>
      <c r="O11" s="258" t="e">
        <v>#REF!</v>
      </c>
      <c r="P11" s="266" t="e">
        <f t="shared" si="2"/>
        <v>#REF!</v>
      </c>
      <c r="Q11" s="265" t="e">
        <f t="shared" si="3"/>
        <v>#REF!</v>
      </c>
      <c r="R11" s="266" t="e">
        <f t="shared" ref="R11:R12" si="12">O11/D11-1</f>
        <v>#REF!</v>
      </c>
      <c r="S11" s="265" t="e">
        <f t="shared" ref="S11:S12" si="13">O11-D11</f>
        <v>#REF!</v>
      </c>
      <c r="T11" s="264" t="e">
        <f t="shared" si="10"/>
        <v>#REF!</v>
      </c>
      <c r="V11" s="29"/>
      <c r="W11" s="81"/>
      <c r="AE11" s="1"/>
    </row>
    <row r="12" spans="1:31" s="4" customFormat="1" hidden="1" x14ac:dyDescent="0.25">
      <c r="A12" s="1"/>
      <c r="B12" s="99" t="s">
        <v>68</v>
      </c>
      <c r="C12" s="258" t="e">
        <v>#REF!</v>
      </c>
      <c r="D12" s="258" t="e">
        <v>#REF!</v>
      </c>
      <c r="E12" s="258" t="e">
        <v>#REF!</v>
      </c>
      <c r="F12" s="264" t="e">
        <f t="shared" si="4"/>
        <v>#REF!</v>
      </c>
      <c r="G12" s="258" t="e">
        <v>#REF!</v>
      </c>
      <c r="H12" s="266" t="e">
        <f t="shared" si="11"/>
        <v>#REF!</v>
      </c>
      <c r="I12" s="265" t="e">
        <f t="shared" si="7"/>
        <v>#REF!</v>
      </c>
      <c r="J12" s="264" t="e">
        <f t="shared" si="8"/>
        <v>#REF!</v>
      </c>
      <c r="K12" s="258" t="e">
        <v>#REF!</v>
      </c>
      <c r="L12" s="262" t="e">
        <f t="shared" si="0"/>
        <v>#REF!</v>
      </c>
      <c r="M12" s="265" t="e">
        <f t="shared" si="1"/>
        <v>#REF!</v>
      </c>
      <c r="N12" s="264" t="e">
        <f t="shared" si="9"/>
        <v>#REF!</v>
      </c>
      <c r="O12" s="258" t="e">
        <v>#REF!</v>
      </c>
      <c r="P12" s="266" t="e">
        <f>O12/K12-1</f>
        <v>#REF!</v>
      </c>
      <c r="Q12" s="265" t="e">
        <f t="shared" si="3"/>
        <v>#REF!</v>
      </c>
      <c r="R12" s="266" t="e">
        <f t="shared" si="12"/>
        <v>#REF!</v>
      </c>
      <c r="S12" s="265" t="e">
        <f t="shared" si="13"/>
        <v>#REF!</v>
      </c>
      <c r="T12" s="264" t="e">
        <f t="shared" si="10"/>
        <v>#REF!</v>
      </c>
      <c r="V12" s="29"/>
      <c r="W12" s="81"/>
      <c r="AE12" s="1"/>
    </row>
    <row r="13" spans="1:31" s="4" customFormat="1" ht="7.5" customHeight="1" x14ac:dyDescent="0.25">
      <c r="A13" s="1"/>
      <c r="B13" s="242"/>
      <c r="C13" s="242"/>
      <c r="D13" s="242"/>
      <c r="E13" s="242"/>
      <c r="F13" s="242"/>
      <c r="G13" s="242"/>
      <c r="H13" s="242"/>
      <c r="I13" s="242"/>
      <c r="J13" s="242"/>
      <c r="K13" s="242"/>
      <c r="L13" s="269"/>
      <c r="M13" s="242"/>
      <c r="N13" s="242"/>
      <c r="O13" s="242"/>
      <c r="P13" s="242"/>
      <c r="Q13" s="242"/>
      <c r="R13" s="242"/>
      <c r="S13" s="242"/>
      <c r="T13" s="242"/>
      <c r="AE13" s="1" t="s">
        <v>187</v>
      </c>
    </row>
    <row r="14" spans="1:31" s="4" customFormat="1" x14ac:dyDescent="0.25">
      <c r="A14" s="1"/>
      <c r="B14" s="171" t="s">
        <v>188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AE14" s="1" t="s">
        <v>189</v>
      </c>
    </row>
    <row r="15" spans="1:31" s="4" customFormat="1" x14ac:dyDescent="0.25">
      <c r="AE15" s="1"/>
    </row>
    <row r="18" spans="1:27" x14ac:dyDescent="0.25">
      <c r="A18" t="s">
        <v>199</v>
      </c>
    </row>
    <row r="19" spans="1:27" x14ac:dyDescent="0.25">
      <c r="AA19" t="str">
        <f>CONCATENATE("hotelera: 
",FIXED(O7,0)," viajeros 
cuota: ",FIXED(T7*100,1),"%")</f>
        <v>hotelera: 
105.943 viajeros 
cuota: 100,0%</v>
      </c>
    </row>
    <row r="20" spans="1:27" x14ac:dyDescent="0.25">
      <c r="AA20" t="e">
        <f>CONCATENATE("Apartamentos: 
",FIXED(O10,0)," viajeros
cuota: ",FIXED(T10*100,1),"%")</f>
        <v>#REF!</v>
      </c>
    </row>
    <row r="38" spans="2:31" s="4" customFormat="1" ht="15.75" hidden="1" customHeight="1" thickBot="1" x14ac:dyDescent="0.3">
      <c r="B38" s="273" t="s">
        <v>190</v>
      </c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85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89"/>
      <c r="D40" s="89"/>
      <c r="E40" s="89"/>
      <c r="F40" s="89"/>
      <c r="G40" s="89"/>
      <c r="H40" s="89"/>
      <c r="I40" s="89"/>
      <c r="J40" s="89"/>
      <c r="K40" s="14">
        <v>2020</v>
      </c>
      <c r="L40" s="14"/>
      <c r="M40" s="14"/>
      <c r="N40" s="14" t="s">
        <v>191</v>
      </c>
      <c r="O40" s="14">
        <v>2021</v>
      </c>
      <c r="P40" s="14" t="s">
        <v>191</v>
      </c>
      <c r="Q40" s="14" t="s">
        <v>192</v>
      </c>
      <c r="R40" s="14" t="s">
        <v>193</v>
      </c>
      <c r="S40" s="14" t="s">
        <v>194</v>
      </c>
      <c r="T40" s="89"/>
      <c r="AE40" s="1"/>
    </row>
    <row r="41" spans="2:31" s="4" customFormat="1" ht="18.75" hidden="1" x14ac:dyDescent="0.3">
      <c r="B41" s="230" t="s">
        <v>178</v>
      </c>
      <c r="C41" s="231"/>
      <c r="D41" s="231"/>
      <c r="E41" s="231"/>
      <c r="F41" s="231"/>
      <c r="G41" s="231"/>
      <c r="H41" s="231"/>
      <c r="I41" s="231"/>
      <c r="J41" s="231"/>
      <c r="K41" s="231">
        <v>1824653</v>
      </c>
      <c r="L41" s="231"/>
      <c r="M41" s="231"/>
      <c r="N41" s="232"/>
      <c r="O41" s="231">
        <v>2354005</v>
      </c>
      <c r="P41" s="232"/>
      <c r="Q41" s="232">
        <v>1</v>
      </c>
      <c r="R41" s="232">
        <v>0.2901110512519367</v>
      </c>
      <c r="S41" s="231">
        <v>529352</v>
      </c>
      <c r="T41" s="243"/>
      <c r="AE41" s="1"/>
    </row>
    <row r="42" spans="2:31" ht="18.75" hidden="1" x14ac:dyDescent="0.3">
      <c r="B42" s="230" t="s">
        <v>179</v>
      </c>
      <c r="C42" s="231"/>
      <c r="D42" s="231"/>
      <c r="E42" s="231"/>
      <c r="F42" s="231"/>
      <c r="G42" s="231"/>
      <c r="H42" s="231"/>
      <c r="I42" s="231"/>
      <c r="J42" s="231"/>
      <c r="K42" s="231">
        <v>603938</v>
      </c>
      <c r="L42" s="231"/>
      <c r="M42" s="231"/>
      <c r="N42" s="232">
        <v>1</v>
      </c>
      <c r="O42" s="231">
        <v>936181</v>
      </c>
      <c r="P42" s="232">
        <v>1</v>
      </c>
      <c r="Q42" s="232">
        <v>0.39769711619134201</v>
      </c>
      <c r="R42" s="232">
        <v>0.55012766211101138</v>
      </c>
      <c r="S42" s="231">
        <v>332243</v>
      </c>
      <c r="T42" s="243"/>
      <c r="AE42" s="1" t="s">
        <v>180</v>
      </c>
    </row>
    <row r="43" spans="2:31" ht="15.75" hidden="1" x14ac:dyDescent="0.25">
      <c r="B43" s="233" t="s">
        <v>105</v>
      </c>
      <c r="C43" s="234"/>
      <c r="D43" s="234"/>
      <c r="E43" s="234"/>
      <c r="F43" s="234"/>
      <c r="G43" s="234"/>
      <c r="H43" s="234"/>
      <c r="I43" s="234"/>
      <c r="J43" s="234"/>
      <c r="K43" s="234">
        <v>276550.36166633503</v>
      </c>
      <c r="L43" s="234"/>
      <c r="M43" s="234"/>
      <c r="N43" s="235">
        <v>0.45791184139155844</v>
      </c>
      <c r="O43" s="234">
        <v>430252.45635520399</v>
      </c>
      <c r="P43" s="235">
        <v>0.4595825554622493</v>
      </c>
      <c r="Q43" s="235">
        <v>0.18277465695918402</v>
      </c>
      <c r="R43" s="235">
        <v>0.55578337978930015</v>
      </c>
      <c r="S43" s="234">
        <v>153702.09468886897</v>
      </c>
      <c r="T43" s="244"/>
      <c r="AE43" s="1" t="s">
        <v>181</v>
      </c>
    </row>
    <row r="44" spans="2:31" s="4" customFormat="1" hidden="1" x14ac:dyDescent="0.25">
      <c r="B44" s="236" t="s">
        <v>108</v>
      </c>
      <c r="C44" s="237"/>
      <c r="D44" s="237"/>
      <c r="E44" s="237"/>
      <c r="F44" s="237"/>
      <c r="G44" s="237"/>
      <c r="H44" s="237"/>
      <c r="I44" s="237"/>
      <c r="J44" s="237"/>
      <c r="K44" s="237">
        <v>327387.63833385095</v>
      </c>
      <c r="L44" s="237"/>
      <c r="M44" s="237"/>
      <c r="N44" s="240">
        <v>0.54208815860874948</v>
      </c>
      <c r="O44" s="237">
        <v>505927.5436448183</v>
      </c>
      <c r="P44" s="240">
        <v>0.54041637636826456</v>
      </c>
      <c r="Q44" s="240">
        <v>0.21492203442423372</v>
      </c>
      <c r="R44" s="238">
        <v>0.54534711884540576</v>
      </c>
      <c r="S44" s="239">
        <v>178539.90531096736</v>
      </c>
      <c r="T44" s="246"/>
      <c r="AE44" s="1" t="s">
        <v>182</v>
      </c>
    </row>
    <row r="45" spans="2:31" s="4" customFormat="1" hidden="1" x14ac:dyDescent="0.25">
      <c r="B45" s="241" t="s">
        <v>183</v>
      </c>
      <c r="C45" s="29"/>
      <c r="D45" s="29"/>
      <c r="E45" s="29"/>
      <c r="F45" s="29"/>
      <c r="G45" s="29"/>
      <c r="H45" s="29"/>
      <c r="I45" s="29"/>
      <c r="J45" s="29"/>
      <c r="K45" s="29">
        <v>242109.12821622068</v>
      </c>
      <c r="L45" s="29"/>
      <c r="M45" s="29"/>
      <c r="N45" s="31">
        <v>0.4008840778626625</v>
      </c>
      <c r="O45" s="29">
        <v>391384.01224089495</v>
      </c>
      <c r="P45" s="31">
        <v>0.41806446855992052</v>
      </c>
      <c r="Q45" s="31">
        <v>0.16626303352834634</v>
      </c>
      <c r="R45" s="22">
        <v>0.61656033014732592</v>
      </c>
      <c r="S45" s="20">
        <v>149274.88402467428</v>
      </c>
      <c r="T45" s="20"/>
      <c r="AE45" s="1" t="s">
        <v>184</v>
      </c>
    </row>
    <row r="46" spans="2:31" s="4" customFormat="1" hidden="1" x14ac:dyDescent="0.25">
      <c r="B46" s="241" t="s">
        <v>185</v>
      </c>
      <c r="C46" s="29"/>
      <c r="D46" s="29"/>
      <c r="E46" s="29"/>
      <c r="F46" s="29"/>
      <c r="G46" s="29"/>
      <c r="H46" s="29"/>
      <c r="I46" s="29"/>
      <c r="J46" s="29"/>
      <c r="K46" s="29">
        <v>85278.510117630256</v>
      </c>
      <c r="L46" s="29"/>
      <c r="M46" s="29"/>
      <c r="N46" s="31">
        <v>0.14120408074608695</v>
      </c>
      <c r="O46" s="29">
        <v>114543.53140392336</v>
      </c>
      <c r="P46" s="31">
        <v>0.12235190780834407</v>
      </c>
      <c r="Q46" s="31">
        <v>4.8659000895887379E-2</v>
      </c>
      <c r="R46" s="22">
        <v>0.34316994100771625</v>
      </c>
      <c r="S46" s="20">
        <v>29265.021286293108</v>
      </c>
      <c r="T46" s="20"/>
      <c r="AE46" s="1" t="s">
        <v>186</v>
      </c>
    </row>
    <row r="47" spans="2:31" s="4" customFormat="1" ht="7.5" hidden="1" customHeight="1" x14ac:dyDescent="0.25">
      <c r="B47" s="242"/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AE47" s="1" t="s">
        <v>187</v>
      </c>
    </row>
    <row r="48" spans="2:31" s="4" customFormat="1" hidden="1" x14ac:dyDescent="0.25">
      <c r="B48" s="291" t="s">
        <v>188</v>
      </c>
      <c r="C48" s="291"/>
      <c r="D48" s="291"/>
      <c r="E48" s="291"/>
      <c r="F48" s="291"/>
      <c r="G48" s="291"/>
      <c r="H48" s="291"/>
      <c r="I48" s="291"/>
      <c r="J48" s="291"/>
      <c r="K48" s="291"/>
      <c r="L48" s="291"/>
      <c r="M48" s="291"/>
      <c r="N48" s="291"/>
      <c r="O48" s="291"/>
      <c r="P48" s="291"/>
      <c r="Q48" s="291"/>
      <c r="R48" s="291"/>
      <c r="S48" s="291"/>
      <c r="T48" s="49"/>
      <c r="AE48" s="1" t="s">
        <v>189</v>
      </c>
    </row>
    <row r="49" spans="3:31" s="4" customFormat="1" hidden="1" x14ac:dyDescent="0.25">
      <c r="AE49" s="1"/>
    </row>
    <row r="50" spans="3:31" hidden="1" x14ac:dyDescent="0.25">
      <c r="C50" s="125"/>
      <c r="D50" s="125"/>
      <c r="E50" s="125"/>
      <c r="F50" s="125"/>
      <c r="G50" s="125"/>
      <c r="H50" s="125"/>
      <c r="I50" s="125"/>
      <c r="J50" s="125"/>
      <c r="K50" s="125">
        <v>0.54208815860874948</v>
      </c>
      <c r="L50" s="125"/>
      <c r="M50" s="125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66" t="s">
        <v>200</v>
      </c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185">
        <v>2021</v>
      </c>
      <c r="D133" s="185">
        <v>2022</v>
      </c>
      <c r="E133" s="185">
        <v>2023</v>
      </c>
      <c r="F133" s="185">
        <v>2024</v>
      </c>
      <c r="G133" s="173" t="str">
        <f>CONCATENATE("var. ",RIGHT(F133,2),"/",RIGHT(E133,2))</f>
        <v>var. 24/23</v>
      </c>
      <c r="H133" s="173" t="str">
        <f>CONCATENATE("dif. ",RIGHT(F133,2),"/",RIGHT(E133,2))</f>
        <v>dif. 24/23</v>
      </c>
      <c r="I133" s="248" t="str">
        <f>CONCATENATE("%/s total Tenerife ",RIGHT(F133,4))</f>
        <v>%/s total Tenerife 2024</v>
      </c>
      <c r="J133" s="185">
        <v>2025</v>
      </c>
      <c r="K133" s="248" t="str">
        <f>CONCATENATE("%/s total Tenerife ",RIGHT(J133,4))</f>
        <v>%/s total Tenerife 2025</v>
      </c>
      <c r="L133" s="173" t="str">
        <f>CONCATENATE("var. ",RIGHT(J133,2),"/",RIGHT(F133,2))</f>
        <v>var. 25/24</v>
      </c>
      <c r="M133" s="173" t="str">
        <f>CONCATENATE("dif. ",RIGHT(J133,2),"/",RIGHT(F133,2))</f>
        <v>dif. 25/24</v>
      </c>
      <c r="N133" s="173" t="str">
        <f>CONCATENATE("var. ",RIGHT(J133,2),"/",RIGHT(D133,2))</f>
        <v>var. 25/22</v>
      </c>
      <c r="O133" s="173" t="str">
        <f>CONCATENATE("dif. ",RIGHT(J133,2),"/",RIGHT(D133,2))</f>
        <v>dif. 25/22</v>
      </c>
      <c r="Z133" s="1"/>
    </row>
    <row r="134" spans="1:31" ht="18.75" x14ac:dyDescent="0.3">
      <c r="A134" s="1"/>
      <c r="B134" s="230" t="s">
        <v>196</v>
      </c>
      <c r="C134" s="249">
        <v>48582</v>
      </c>
      <c r="D134" s="234">
        <v>65021</v>
      </c>
      <c r="E134" s="234">
        <v>80189</v>
      </c>
      <c r="F134" s="234">
        <v>80800</v>
      </c>
      <c r="G134" s="235">
        <f>F134/E134-1</f>
        <v>7.6194989337690089E-3</v>
      </c>
      <c r="H134" s="234">
        <f>F134-E134</f>
        <v>611</v>
      </c>
      <c r="I134" s="235">
        <f>F134/F$134</f>
        <v>1</v>
      </c>
      <c r="J134" s="234">
        <v>84941</v>
      </c>
      <c r="K134" s="235">
        <f>J134/J$134</f>
        <v>1</v>
      </c>
      <c r="L134" s="235">
        <f>J134/F134-1</f>
        <v>5.1250000000000018E-2</v>
      </c>
      <c r="M134" s="234">
        <f>J134-F134</f>
        <v>4141</v>
      </c>
      <c r="N134" s="235">
        <f>J134/D134-1</f>
        <v>0.30636255978837612</v>
      </c>
      <c r="O134" s="234">
        <f>J134-D134</f>
        <v>19920</v>
      </c>
      <c r="Q134" s="29"/>
      <c r="R134" s="81"/>
      <c r="Z134" s="1" t="s">
        <v>180</v>
      </c>
      <c r="AE134"/>
    </row>
    <row r="135" spans="1:31" s="4" customFormat="1" x14ac:dyDescent="0.25">
      <c r="A135" s="1"/>
      <c r="B135" s="251" t="s">
        <v>197</v>
      </c>
      <c r="C135" s="252">
        <v>48582</v>
      </c>
      <c r="D135" s="252">
        <v>65021</v>
      </c>
      <c r="E135" s="252">
        <v>80189</v>
      </c>
      <c r="F135" s="252">
        <v>80800</v>
      </c>
      <c r="G135" s="256">
        <f>IFERROR(F135/E135-1,"-")</f>
        <v>7.6194989337690089E-3</v>
      </c>
      <c r="H135" s="252">
        <f t="shared" ref="H135:H138" si="14">F135-E135</f>
        <v>611</v>
      </c>
      <c r="I135" s="254">
        <f>F135/F$134</f>
        <v>1</v>
      </c>
      <c r="J135" s="252">
        <v>84941</v>
      </c>
      <c r="K135" s="253">
        <f t="shared" ref="K135:K138" si="15">J135/J$134</f>
        <v>1</v>
      </c>
      <c r="L135" s="254">
        <f t="shared" ref="L135:L138" si="16">J135/F135-1</f>
        <v>5.1250000000000018E-2</v>
      </c>
      <c r="M135" s="255">
        <f t="shared" ref="M135:M138" si="17">J135-F135</f>
        <v>4141</v>
      </c>
      <c r="N135" s="253">
        <f t="shared" ref="N135:N138" si="18">J135/D135-1</f>
        <v>0.30636255978837612</v>
      </c>
      <c r="O135" s="252">
        <f t="shared" ref="O135:O138" si="19">J135-D135</f>
        <v>19920</v>
      </c>
      <c r="Q135" s="29"/>
      <c r="R135" s="81"/>
      <c r="Z135" s="1" t="s">
        <v>182</v>
      </c>
    </row>
    <row r="136" spans="1:31" s="4" customFormat="1" x14ac:dyDescent="0.25">
      <c r="A136" s="108" t="s">
        <v>177</v>
      </c>
      <c r="B136" s="4" t="s">
        <v>70</v>
      </c>
      <c r="C136" s="258">
        <v>15029</v>
      </c>
      <c r="D136" s="258">
        <v>22240</v>
      </c>
      <c r="E136" s="258">
        <v>31163</v>
      </c>
      <c r="F136" s="258">
        <v>28389</v>
      </c>
      <c r="G136" s="262">
        <f t="shared" ref="G136:G138" si="20">IFERROR(F136/E136-1,"-")</f>
        <v>-8.9015820042999683E-2</v>
      </c>
      <c r="H136" s="258">
        <f t="shared" si="14"/>
        <v>-2774</v>
      </c>
      <c r="I136" s="266">
        <f t="shared" ref="I136:I138" si="21">F136/F$134</f>
        <v>0.35134900990099011</v>
      </c>
      <c r="J136" s="258">
        <v>23747</v>
      </c>
      <c r="K136" s="264">
        <f t="shared" si="15"/>
        <v>0.27957052542352928</v>
      </c>
      <c r="L136" s="266">
        <f t="shared" si="16"/>
        <v>-0.16351403712705626</v>
      </c>
      <c r="M136" s="265">
        <f t="shared" si="17"/>
        <v>-4642</v>
      </c>
      <c r="N136" s="264">
        <f t="shared" si="18"/>
        <v>6.7760791366906492E-2</v>
      </c>
      <c r="O136" s="258">
        <f t="shared" si="19"/>
        <v>1507</v>
      </c>
      <c r="Q136" s="29"/>
      <c r="R136" s="81"/>
      <c r="Z136" s="1"/>
    </row>
    <row r="137" spans="1:31" s="4" customFormat="1" x14ac:dyDescent="0.25">
      <c r="A137" s="108" t="s">
        <v>68</v>
      </c>
      <c r="B137" s="4" t="s">
        <v>63</v>
      </c>
      <c r="C137" s="258">
        <v>34179</v>
      </c>
      <c r="D137" s="258">
        <v>42781</v>
      </c>
      <c r="E137" s="258">
        <v>49026</v>
      </c>
      <c r="F137" s="258">
        <v>52411</v>
      </c>
      <c r="G137" s="260">
        <f t="shared" si="20"/>
        <v>6.9044996532452219E-2</v>
      </c>
      <c r="H137" s="258">
        <f t="shared" si="14"/>
        <v>3385</v>
      </c>
      <c r="I137" s="270">
        <f t="shared" si="21"/>
        <v>0.64865099009900995</v>
      </c>
      <c r="J137" s="258">
        <v>61194</v>
      </c>
      <c r="K137" s="264">
        <f t="shared" si="15"/>
        <v>0.72042947457647077</v>
      </c>
      <c r="L137" s="266">
        <f t="shared" si="16"/>
        <v>0.16757932495086902</v>
      </c>
      <c r="M137" s="265">
        <f t="shared" si="17"/>
        <v>8783</v>
      </c>
      <c r="N137" s="264">
        <f t="shared" si="18"/>
        <v>0.43040134639208993</v>
      </c>
      <c r="O137" s="258">
        <f t="shared" si="19"/>
        <v>18413</v>
      </c>
      <c r="Q137" s="29"/>
      <c r="R137" s="81"/>
      <c r="Z137" s="1"/>
    </row>
    <row r="138" spans="1:31" s="4" customFormat="1" x14ac:dyDescent="0.25">
      <c r="A138" s="1"/>
      <c r="B138" s="251" t="s">
        <v>198</v>
      </c>
      <c r="C138" s="252" t="e">
        <v>#REF!</v>
      </c>
      <c r="D138" s="252" t="e">
        <v>#REF!</v>
      </c>
      <c r="E138" s="252" t="e">
        <v>#REF!</v>
      </c>
      <c r="F138" s="252" t="e">
        <v>#REF!</v>
      </c>
      <c r="G138" s="256" t="str">
        <f t="shared" si="20"/>
        <v>-</v>
      </c>
      <c r="H138" s="252" t="e">
        <f t="shared" si="14"/>
        <v>#REF!</v>
      </c>
      <c r="I138" s="254" t="e">
        <f t="shared" si="21"/>
        <v>#REF!</v>
      </c>
      <c r="J138" s="252" t="e">
        <v>#REF!</v>
      </c>
      <c r="K138" s="253" t="e">
        <f t="shared" si="15"/>
        <v>#REF!</v>
      </c>
      <c r="L138" s="254" t="e">
        <f t="shared" si="16"/>
        <v>#REF!</v>
      </c>
      <c r="M138" s="255" t="e">
        <f t="shared" si="17"/>
        <v>#REF!</v>
      </c>
      <c r="N138" s="253" t="e">
        <f t="shared" si="18"/>
        <v>#REF!</v>
      </c>
      <c r="O138" s="252" t="e">
        <f t="shared" si="19"/>
        <v>#REF!</v>
      </c>
      <c r="Q138" s="29"/>
      <c r="R138" s="81"/>
      <c r="Z138" s="1"/>
    </row>
    <row r="139" spans="1:31" s="4" customFormat="1" ht="7.5" customHeight="1" x14ac:dyDescent="0.25">
      <c r="A139" s="1"/>
      <c r="B139" s="242"/>
      <c r="C139" s="242"/>
      <c r="D139" s="242"/>
      <c r="E139" s="242"/>
      <c r="F139" s="242"/>
      <c r="G139" s="242"/>
      <c r="H139" s="242"/>
      <c r="I139" s="242"/>
      <c r="J139" s="242"/>
      <c r="K139" s="242"/>
      <c r="L139" s="242"/>
      <c r="M139" s="242"/>
      <c r="N139" s="242"/>
      <c r="O139" s="242"/>
      <c r="Z139" s="1" t="s">
        <v>187</v>
      </c>
    </row>
    <row r="140" spans="1:31" s="4" customFormat="1" ht="32.25" customHeight="1" x14ac:dyDescent="0.25">
      <c r="A140" s="1"/>
      <c r="B140" s="315" t="s">
        <v>201</v>
      </c>
      <c r="C140" s="315"/>
      <c r="D140" s="315"/>
      <c r="E140" s="315"/>
      <c r="F140" s="315"/>
      <c r="G140" s="315"/>
      <c r="H140" s="315"/>
      <c r="I140" s="315"/>
      <c r="J140" s="315"/>
      <c r="K140" s="315"/>
      <c r="L140" s="315"/>
      <c r="M140" s="315"/>
      <c r="N140" s="315"/>
      <c r="O140" s="315"/>
      <c r="Z140" s="1" t="s">
        <v>189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082C1E-EA16-4DC4-85E1-00568A9D3517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202</v>
      </c>
      <c r="G1" s="229"/>
      <c r="H1" s="229"/>
      <c r="I1" s="229"/>
      <c r="K1" s="229"/>
    </row>
    <row r="3" spans="1:31" s="4" customFormat="1" ht="25.5" customHeight="1" thickBot="1" x14ac:dyDescent="0.3">
      <c r="B3" s="66" t="s">
        <v>318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47" t="s">
        <v>270</v>
      </c>
      <c r="D5" s="247" t="s">
        <v>271</v>
      </c>
      <c r="E5" s="247" t="s">
        <v>272</v>
      </c>
      <c r="F5" s="248" t="str">
        <f>CONCATENATE("%/s total Tenerife ",RIGHT(E5,4))</f>
        <v>%/s total Tenerife 2023</v>
      </c>
      <c r="G5" s="247" t="s">
        <v>273</v>
      </c>
      <c r="H5" s="248" t="str">
        <f>CONCATENATE("var. ",RIGHT(G5,2),"/",RIGHT(E5,2))</f>
        <v>var. 24/23</v>
      </c>
      <c r="I5" s="248" t="str">
        <f>CONCATENATE("dif. ",RIGHT(G5,2),"/",RIGHT(E5,2))</f>
        <v>dif. 24/23</v>
      </c>
      <c r="J5" s="248" t="str">
        <f>CONCATENATE("%/s total Tenerife ",RIGHT(G5,4))</f>
        <v>%/s total Tenerife 2024</v>
      </c>
      <c r="K5" s="247" t="s">
        <v>274</v>
      </c>
      <c r="L5" s="248" t="str">
        <f>CONCATENATE("var. ",RIGHT(K5,2),"/",RIGHT(G5,2))</f>
        <v>var. 25/24</v>
      </c>
      <c r="M5" s="248" t="str">
        <f>CONCATENATE("dif. ",RIGHT(K5,2),"/",RIGHT(G5,2))</f>
        <v>dif. 25/24</v>
      </c>
      <c r="N5" s="248" t="str">
        <f>CONCATENATE("%/s total Tenerife ",RIGHT(K5,4))</f>
        <v>%/s total Tenerife 2025</v>
      </c>
      <c r="O5" s="247" t="s">
        <v>275</v>
      </c>
      <c r="P5" s="248" t="str">
        <f>CONCATENATE("var. ",RIGHT(O5,2),"/",RIGHT(K5,2))</f>
        <v>var. 26/25</v>
      </c>
      <c r="Q5" s="248" t="str">
        <f>CONCATENATE("dif. ",RIGHT(O5,2),"/",RIGHT(K5,2))</f>
        <v>dif. 26/25</v>
      </c>
      <c r="R5" s="248" t="str">
        <f>CONCATENATE("var. ",RIGHT(O5,2),"/",RIGHT(C5,2))</f>
        <v>var. 26/21</v>
      </c>
      <c r="S5" s="248" t="str">
        <f>CONCATENATE("dif. ",RIGHT(O5,2),"/",RIGHT(C5,2))</f>
        <v>dif. 26/21</v>
      </c>
      <c r="T5" s="248" t="str">
        <f>CONCATENATE("%/s total Tenerife ",RIGHT(O5,4))</f>
        <v>%/s total Tenerife 2026</v>
      </c>
      <c r="AE5" s="1"/>
    </row>
    <row r="6" spans="1:31" ht="18.75" x14ac:dyDescent="0.3">
      <c r="A6" s="1"/>
      <c r="B6" s="230" t="s">
        <v>203</v>
      </c>
      <c r="C6" s="249">
        <v>23118</v>
      </c>
      <c r="D6" s="249">
        <v>36702</v>
      </c>
      <c r="E6" s="249">
        <v>48024</v>
      </c>
      <c r="F6" s="250">
        <f>E6/$E$6</f>
        <v>1</v>
      </c>
      <c r="G6" s="249">
        <v>48274</v>
      </c>
      <c r="H6" s="250">
        <f>G6/E6-1</f>
        <v>5.2057304680992456E-3</v>
      </c>
      <c r="I6" s="249">
        <f>G6-E6</f>
        <v>250</v>
      </c>
      <c r="J6" s="250">
        <f>G6/$G$6</f>
        <v>1</v>
      </c>
      <c r="K6" s="249">
        <v>50408</v>
      </c>
      <c r="L6" s="250">
        <f t="shared" ref="L6:L12" si="0">K6/G6-1</f>
        <v>4.4205990802502315E-2</v>
      </c>
      <c r="M6" s="249">
        <f t="shared" ref="M6:M12" si="1">K6-G6</f>
        <v>2134</v>
      </c>
      <c r="N6" s="250">
        <f>K6/$K$6</f>
        <v>1</v>
      </c>
      <c r="O6" s="249">
        <v>50727</v>
      </c>
      <c r="P6" s="250">
        <f t="shared" ref="P6:P11" si="2">O6/K6-1</f>
        <v>6.328360577686043E-3</v>
      </c>
      <c r="Q6" s="249">
        <f t="shared" ref="Q6:Q12" si="3">O6-K6</f>
        <v>319</v>
      </c>
      <c r="R6" s="250">
        <f>O6/C6-1</f>
        <v>1.1942642097067222</v>
      </c>
      <c r="S6" s="249">
        <f>O6-C6</f>
        <v>27609</v>
      </c>
      <c r="T6" s="250">
        <f>O6/$O$6</f>
        <v>1</v>
      </c>
      <c r="V6" s="29"/>
      <c r="W6" s="81"/>
      <c r="AE6" s="1" t="s">
        <v>180</v>
      </c>
    </row>
    <row r="7" spans="1:31" s="4" customFormat="1" x14ac:dyDescent="0.25">
      <c r="A7" s="1"/>
      <c r="B7" s="251" t="s">
        <v>197</v>
      </c>
      <c r="C7" s="252">
        <v>23118</v>
      </c>
      <c r="D7" s="252">
        <v>36702</v>
      </c>
      <c r="E7" s="252">
        <v>48024</v>
      </c>
      <c r="F7" s="253">
        <f t="shared" ref="F7:F12" si="4">E7/$E$6</f>
        <v>1</v>
      </c>
      <c r="G7" s="252">
        <v>48274</v>
      </c>
      <c r="H7" s="254">
        <f>G7/E7-1</f>
        <v>5.2057304680992456E-3</v>
      </c>
      <c r="I7" s="255">
        <f>G7-E7</f>
        <v>250</v>
      </c>
      <c r="J7" s="253">
        <f>G7/$G$6</f>
        <v>1</v>
      </c>
      <c r="K7" s="252">
        <v>50408</v>
      </c>
      <c r="L7" s="256">
        <f t="shared" si="0"/>
        <v>4.4205990802502315E-2</v>
      </c>
      <c r="M7" s="257">
        <f t="shared" si="1"/>
        <v>2134</v>
      </c>
      <c r="N7" s="253">
        <f>K7/$K$6</f>
        <v>1</v>
      </c>
      <c r="O7" s="252">
        <v>50727</v>
      </c>
      <c r="P7" s="254">
        <f t="shared" si="2"/>
        <v>6.328360577686043E-3</v>
      </c>
      <c r="Q7" s="255">
        <f t="shared" si="3"/>
        <v>319</v>
      </c>
      <c r="R7" s="254">
        <f t="shared" ref="R7:R10" si="5">O7/C7-1</f>
        <v>1.1942642097067222</v>
      </c>
      <c r="S7" s="255">
        <f t="shared" ref="S7:S10" si="6">O7-C7</f>
        <v>27609</v>
      </c>
      <c r="T7" s="253">
        <f>O7/$O$6</f>
        <v>1</v>
      </c>
      <c r="V7" s="29"/>
      <c r="W7" s="81"/>
      <c r="AE7" s="1" t="s">
        <v>182</v>
      </c>
    </row>
    <row r="8" spans="1:31" s="4" customFormat="1" x14ac:dyDescent="0.25">
      <c r="A8" s="108" t="s">
        <v>177</v>
      </c>
      <c r="B8" s="4" t="s">
        <v>70</v>
      </c>
      <c r="C8" s="258">
        <v>7588</v>
      </c>
      <c r="D8" s="258">
        <v>12119</v>
      </c>
      <c r="E8" s="258">
        <v>20671</v>
      </c>
      <c r="F8" s="259">
        <f t="shared" si="4"/>
        <v>0.4304306180243212</v>
      </c>
      <c r="G8" s="258">
        <v>17867</v>
      </c>
      <c r="H8" s="260">
        <f>IFERROR(G8/E8-1,"-")</f>
        <v>-0.13564897682743937</v>
      </c>
      <c r="I8" s="261">
        <f t="shared" ref="I8:I12" si="7">G8-E8</f>
        <v>-2804</v>
      </c>
      <c r="J8" s="259">
        <f t="shared" ref="J8:J12" si="8">G8/$G$6</f>
        <v>0.37011641877615281</v>
      </c>
      <c r="K8" s="258">
        <v>14306</v>
      </c>
      <c r="L8" s="262">
        <f>IFERROR(K8/G8-1,"-")</f>
        <v>-0.19930598309733027</v>
      </c>
      <c r="M8" s="263">
        <f>IF(G8=0,"nd",K8-G8)</f>
        <v>-3561</v>
      </c>
      <c r="N8" s="264">
        <f t="shared" ref="N8:N12" si="9">K8/$K$6</f>
        <v>0.28380415807014758</v>
      </c>
      <c r="O8" s="258">
        <v>13049</v>
      </c>
      <c r="P8" s="262">
        <f>IFERROR(O8/K8-1,"-")</f>
        <v>-8.7865231371452523E-2</v>
      </c>
      <c r="Q8" s="265">
        <f t="shared" si="3"/>
        <v>-1257</v>
      </c>
      <c r="R8" s="262">
        <f>IFERROR(O8/C8-1,"-")</f>
        <v>0.71968898260411174</v>
      </c>
      <c r="S8" s="265">
        <f t="shared" si="6"/>
        <v>5461</v>
      </c>
      <c r="T8" s="264">
        <f t="shared" ref="T8:T12" si="10">O8/$O$6</f>
        <v>0.25723973426380431</v>
      </c>
      <c r="V8" s="29"/>
      <c r="W8" s="81"/>
      <c r="AE8" s="1"/>
    </row>
    <row r="9" spans="1:31" s="4" customFormat="1" x14ac:dyDescent="0.25">
      <c r="A9" s="108" t="s">
        <v>68</v>
      </c>
      <c r="B9" s="4" t="s">
        <v>63</v>
      </c>
      <c r="C9" s="258">
        <v>15530</v>
      </c>
      <c r="D9" s="258">
        <v>24583</v>
      </c>
      <c r="E9" s="258">
        <v>27353</v>
      </c>
      <c r="F9" s="264">
        <f t="shared" si="4"/>
        <v>0.56956938197567886</v>
      </c>
      <c r="G9" s="258">
        <v>30407</v>
      </c>
      <c r="H9" s="260">
        <f>IFERROR(G9/E9-1,"-")</f>
        <v>0.11165137279274662</v>
      </c>
      <c r="I9" s="265">
        <f t="shared" si="7"/>
        <v>3054</v>
      </c>
      <c r="J9" s="264">
        <f t="shared" si="8"/>
        <v>0.62988358122384724</v>
      </c>
      <c r="K9" s="258">
        <v>36102</v>
      </c>
      <c r="L9" s="262">
        <f>IFERROR(K9/G9-1,"-")</f>
        <v>0.18729239977636736</v>
      </c>
      <c r="M9" s="263">
        <f>IF(G9=0,"nd",K9-G9)</f>
        <v>5695</v>
      </c>
      <c r="N9" s="264">
        <f t="shared" si="9"/>
        <v>0.71619584192985242</v>
      </c>
      <c r="O9" s="258">
        <v>37678</v>
      </c>
      <c r="P9" s="262">
        <f t="shared" si="2"/>
        <v>4.3654091186083877E-2</v>
      </c>
      <c r="Q9" s="265">
        <f t="shared" si="3"/>
        <v>1576</v>
      </c>
      <c r="R9" s="266">
        <f t="shared" si="5"/>
        <v>1.4261429491307149</v>
      </c>
      <c r="S9" s="265">
        <f t="shared" si="6"/>
        <v>22148</v>
      </c>
      <c r="T9" s="264">
        <f t="shared" si="10"/>
        <v>0.74276026573619569</v>
      </c>
      <c r="V9" s="29"/>
      <c r="W9" s="81"/>
      <c r="AE9" s="1"/>
    </row>
    <row r="10" spans="1:31" s="4" customFormat="1" x14ac:dyDescent="0.25">
      <c r="A10" s="1"/>
      <c r="B10" s="251" t="s">
        <v>198</v>
      </c>
      <c r="C10" s="267" t="s">
        <v>239</v>
      </c>
      <c r="D10" s="267" t="s">
        <v>239</v>
      </c>
      <c r="E10" s="267" t="s">
        <v>239</v>
      </c>
      <c r="F10" s="268" t="str">
        <f>IFERROR(E10/$E$6,"-")</f>
        <v>-</v>
      </c>
      <c r="G10" s="267" t="s">
        <v>239</v>
      </c>
      <c r="H10" s="256" t="str">
        <f>IFERROR(G10/E10-1,"-")</f>
        <v>-</v>
      </c>
      <c r="I10" s="257" t="str">
        <f>IFERROR(G10-E10,"-")</f>
        <v>-</v>
      </c>
      <c r="J10" s="268" t="str">
        <f>IFERROR(G10/$G$6,"-")</f>
        <v>-</v>
      </c>
      <c r="K10" s="267" t="s">
        <v>239</v>
      </c>
      <c r="L10" s="256" t="str">
        <f>IFERROR(K10/G10-1,"-")</f>
        <v>-</v>
      </c>
      <c r="M10" s="257" t="str">
        <f>IFERROR(K10-G10,"-")</f>
        <v>-</v>
      </c>
      <c r="N10" s="268" t="str">
        <f>IFERROR(K10/$K$6,"-")</f>
        <v>-</v>
      </c>
      <c r="O10" s="267" t="s">
        <v>239</v>
      </c>
      <c r="P10" s="256" t="str">
        <f>IFERROR(O10/K10-1,"-")</f>
        <v>-</v>
      </c>
      <c r="Q10" s="257" t="str">
        <f>IFERROR(O10-K10,"-")</f>
        <v>-</v>
      </c>
      <c r="R10" s="256" t="e">
        <f t="shared" si="5"/>
        <v>#VALUE!</v>
      </c>
      <c r="S10" s="257" t="e">
        <f t="shared" si="6"/>
        <v>#VALUE!</v>
      </c>
      <c r="T10" s="268" t="str">
        <f>IFERROR(O10/$O$6,"-")</f>
        <v>-</v>
      </c>
      <c r="V10" s="29"/>
      <c r="W10" s="81"/>
      <c r="AE10" s="1"/>
    </row>
    <row r="11" spans="1:31" s="4" customFormat="1" hidden="1" x14ac:dyDescent="0.25">
      <c r="B11" s="99" t="s">
        <v>177</v>
      </c>
      <c r="C11" s="258" t="e">
        <v>#REF!</v>
      </c>
      <c r="D11" s="258" t="e">
        <v>#REF!</v>
      </c>
      <c r="E11" s="258" t="e">
        <v>#REF!</v>
      </c>
      <c r="F11" s="264" t="e">
        <f t="shared" si="4"/>
        <v>#REF!</v>
      </c>
      <c r="G11" s="258" t="e">
        <v>#REF!</v>
      </c>
      <c r="H11" s="266" t="e">
        <f t="shared" ref="H11:H12" si="11">G11/E11-1</f>
        <v>#REF!</v>
      </c>
      <c r="I11" s="265" t="e">
        <f t="shared" si="7"/>
        <v>#REF!</v>
      </c>
      <c r="J11" s="264" t="e">
        <f t="shared" si="8"/>
        <v>#REF!</v>
      </c>
      <c r="K11" s="258" t="e">
        <v>#REF!</v>
      </c>
      <c r="L11" s="262" t="e">
        <f>K11/G11-1</f>
        <v>#REF!</v>
      </c>
      <c r="M11" s="265" t="e">
        <f t="shared" si="1"/>
        <v>#REF!</v>
      </c>
      <c r="N11" s="264" t="e">
        <f t="shared" si="9"/>
        <v>#REF!</v>
      </c>
      <c r="O11" s="258" t="e">
        <v>#REF!</v>
      </c>
      <c r="P11" s="266" t="e">
        <f t="shared" si="2"/>
        <v>#REF!</v>
      </c>
      <c r="Q11" s="265" t="e">
        <f t="shared" si="3"/>
        <v>#REF!</v>
      </c>
      <c r="R11" s="266" t="e">
        <f t="shared" ref="R11:R12" si="12">O11/D11-1</f>
        <v>#REF!</v>
      </c>
      <c r="S11" s="265" t="e">
        <f t="shared" ref="S11:S12" si="13">O11-D11</f>
        <v>#REF!</v>
      </c>
      <c r="T11" s="264" t="e">
        <f t="shared" si="10"/>
        <v>#REF!</v>
      </c>
      <c r="V11" s="29"/>
      <c r="W11" s="81"/>
      <c r="AE11" s="1"/>
    </row>
    <row r="12" spans="1:31" s="4" customFormat="1" hidden="1" x14ac:dyDescent="0.25">
      <c r="B12" s="99" t="s">
        <v>68</v>
      </c>
      <c r="C12" s="258" t="e">
        <v>#REF!</v>
      </c>
      <c r="D12" s="258" t="e">
        <v>#REF!</v>
      </c>
      <c r="E12" s="258" t="e">
        <v>#REF!</v>
      </c>
      <c r="F12" s="264" t="e">
        <f t="shared" si="4"/>
        <v>#REF!</v>
      </c>
      <c r="G12" s="258" t="e">
        <v>#REF!</v>
      </c>
      <c r="H12" s="266" t="e">
        <f t="shared" si="11"/>
        <v>#REF!</v>
      </c>
      <c r="I12" s="265" t="e">
        <f t="shared" si="7"/>
        <v>#REF!</v>
      </c>
      <c r="J12" s="264" t="e">
        <f t="shared" si="8"/>
        <v>#REF!</v>
      </c>
      <c r="K12" s="258" t="e">
        <v>#REF!</v>
      </c>
      <c r="L12" s="262" t="e">
        <f t="shared" si="0"/>
        <v>#REF!</v>
      </c>
      <c r="M12" s="265" t="e">
        <f t="shared" si="1"/>
        <v>#REF!</v>
      </c>
      <c r="N12" s="264" t="e">
        <f t="shared" si="9"/>
        <v>#REF!</v>
      </c>
      <c r="O12" s="258" t="e">
        <v>#REF!</v>
      </c>
      <c r="P12" s="266" t="e">
        <f>O12/K12-1</f>
        <v>#REF!</v>
      </c>
      <c r="Q12" s="265" t="e">
        <f t="shared" si="3"/>
        <v>#REF!</v>
      </c>
      <c r="R12" s="266" t="e">
        <f t="shared" si="12"/>
        <v>#REF!</v>
      </c>
      <c r="S12" s="265" t="e">
        <f t="shared" si="13"/>
        <v>#REF!</v>
      </c>
      <c r="T12" s="264" t="e">
        <f t="shared" si="10"/>
        <v>#REF!</v>
      </c>
      <c r="V12" s="29"/>
      <c r="W12" s="81"/>
      <c r="AE12" s="1"/>
    </row>
    <row r="13" spans="1:31" s="4" customFormat="1" ht="7.5" customHeight="1" x14ac:dyDescent="0.25">
      <c r="B13" s="242"/>
      <c r="C13" s="242"/>
      <c r="D13" s="242"/>
      <c r="E13" s="242"/>
      <c r="F13" s="242"/>
      <c r="G13" s="242"/>
      <c r="H13" s="242"/>
      <c r="I13" s="242"/>
      <c r="J13" s="242"/>
      <c r="K13" s="242"/>
      <c r="L13" s="269"/>
      <c r="M13" s="242"/>
      <c r="N13" s="242"/>
      <c r="O13" s="242"/>
      <c r="P13" s="242"/>
      <c r="Q13" s="242"/>
      <c r="R13" s="242"/>
      <c r="S13" s="242"/>
      <c r="T13" s="242"/>
      <c r="AE13" s="1" t="s">
        <v>187</v>
      </c>
    </row>
    <row r="14" spans="1:31" s="4" customFormat="1" x14ac:dyDescent="0.25">
      <c r="B14" s="171" t="s">
        <v>188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AE14" s="1" t="s">
        <v>189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50.727 viajeros 
cuota: 100,0%</v>
      </c>
    </row>
    <row r="20" spans="27:27" x14ac:dyDescent="0.25">
      <c r="AA20" t="e">
        <f>CONCATENATE("Apartamentos: 
",FIXED(O10,0)," viajeros
cuota: ",FIXED(T10*100,1),"%")</f>
        <v>#VALUE!</v>
      </c>
    </row>
    <row r="38" spans="2:31" s="4" customFormat="1" ht="15.75" hidden="1" customHeight="1" thickBot="1" x14ac:dyDescent="0.3">
      <c r="B38" s="273" t="s">
        <v>190</v>
      </c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85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89"/>
      <c r="D40" s="89"/>
      <c r="E40" s="89"/>
      <c r="F40" s="89"/>
      <c r="G40" s="89"/>
      <c r="H40" s="89"/>
      <c r="I40" s="89"/>
      <c r="J40" s="89"/>
      <c r="K40" s="14">
        <v>2020</v>
      </c>
      <c r="L40" s="14"/>
      <c r="M40" s="14"/>
      <c r="N40" s="14" t="s">
        <v>191</v>
      </c>
      <c r="O40" s="14">
        <v>2021</v>
      </c>
      <c r="P40" s="14" t="s">
        <v>191</v>
      </c>
      <c r="Q40" s="14" t="s">
        <v>192</v>
      </c>
      <c r="R40" s="14" t="s">
        <v>193</v>
      </c>
      <c r="S40" s="14" t="s">
        <v>194</v>
      </c>
      <c r="T40" s="89"/>
      <c r="AE40" s="1"/>
    </row>
    <row r="41" spans="2:31" s="4" customFormat="1" ht="18.75" hidden="1" x14ac:dyDescent="0.3">
      <c r="B41" s="230" t="s">
        <v>178</v>
      </c>
      <c r="C41" s="231"/>
      <c r="D41" s="231"/>
      <c r="E41" s="231"/>
      <c r="F41" s="231"/>
      <c r="G41" s="231"/>
      <c r="H41" s="231"/>
      <c r="I41" s="231"/>
      <c r="J41" s="231"/>
      <c r="K41" s="231">
        <v>1824653</v>
      </c>
      <c r="L41" s="231"/>
      <c r="M41" s="231"/>
      <c r="N41" s="232"/>
      <c r="O41" s="231">
        <v>2354005</v>
      </c>
      <c r="P41" s="232"/>
      <c r="Q41" s="232">
        <v>1</v>
      </c>
      <c r="R41" s="232">
        <v>0.2901110512519367</v>
      </c>
      <c r="S41" s="231">
        <v>529352</v>
      </c>
      <c r="T41" s="243"/>
      <c r="AE41" s="1"/>
    </row>
    <row r="42" spans="2:31" ht="18.75" hidden="1" x14ac:dyDescent="0.3">
      <c r="B42" s="230" t="s">
        <v>179</v>
      </c>
      <c r="C42" s="231"/>
      <c r="D42" s="231"/>
      <c r="E42" s="231"/>
      <c r="F42" s="231"/>
      <c r="G42" s="231"/>
      <c r="H42" s="231"/>
      <c r="I42" s="231"/>
      <c r="J42" s="231"/>
      <c r="K42" s="231">
        <v>603938</v>
      </c>
      <c r="L42" s="231"/>
      <c r="M42" s="231"/>
      <c r="N42" s="232">
        <v>1</v>
      </c>
      <c r="O42" s="231">
        <v>936181</v>
      </c>
      <c r="P42" s="232">
        <v>1</v>
      </c>
      <c r="Q42" s="232">
        <v>0.39769711619134201</v>
      </c>
      <c r="R42" s="232">
        <v>0.55012766211101138</v>
      </c>
      <c r="S42" s="231">
        <v>332243</v>
      </c>
      <c r="T42" s="243"/>
      <c r="AE42" s="1" t="s">
        <v>180</v>
      </c>
    </row>
    <row r="43" spans="2:31" ht="15.75" hidden="1" x14ac:dyDescent="0.25">
      <c r="B43" s="233" t="s">
        <v>105</v>
      </c>
      <c r="C43" s="234"/>
      <c r="D43" s="234"/>
      <c r="E43" s="234"/>
      <c r="F43" s="234"/>
      <c r="G43" s="234"/>
      <c r="H43" s="234"/>
      <c r="I43" s="234"/>
      <c r="J43" s="234"/>
      <c r="K43" s="234">
        <v>276550.36166633503</v>
      </c>
      <c r="L43" s="234"/>
      <c r="M43" s="234"/>
      <c r="N43" s="235">
        <v>0.45791184139155844</v>
      </c>
      <c r="O43" s="234">
        <v>430252.45635520399</v>
      </c>
      <c r="P43" s="235">
        <v>0.4595825554622493</v>
      </c>
      <c r="Q43" s="235">
        <v>0.18277465695918402</v>
      </c>
      <c r="R43" s="235">
        <v>0.55578337978930015</v>
      </c>
      <c r="S43" s="234">
        <v>153702.09468886897</v>
      </c>
      <c r="T43" s="244"/>
      <c r="AE43" s="1" t="s">
        <v>181</v>
      </c>
    </row>
    <row r="44" spans="2:31" s="4" customFormat="1" hidden="1" x14ac:dyDescent="0.25">
      <c r="B44" s="236" t="s">
        <v>108</v>
      </c>
      <c r="C44" s="237"/>
      <c r="D44" s="237"/>
      <c r="E44" s="237"/>
      <c r="F44" s="237"/>
      <c r="G44" s="237"/>
      <c r="H44" s="237"/>
      <c r="I44" s="237"/>
      <c r="J44" s="237"/>
      <c r="K44" s="237">
        <v>327387.63833385095</v>
      </c>
      <c r="L44" s="237"/>
      <c r="M44" s="237"/>
      <c r="N44" s="240">
        <v>0.54208815860874948</v>
      </c>
      <c r="O44" s="237">
        <v>505927.5436448183</v>
      </c>
      <c r="P44" s="240">
        <v>0.54041637636826456</v>
      </c>
      <c r="Q44" s="240">
        <v>0.21492203442423372</v>
      </c>
      <c r="R44" s="238">
        <v>0.54534711884540576</v>
      </c>
      <c r="S44" s="239">
        <v>178539.90531096736</v>
      </c>
      <c r="T44" s="246"/>
      <c r="AE44" s="1" t="s">
        <v>182</v>
      </c>
    </row>
    <row r="45" spans="2:31" s="4" customFormat="1" hidden="1" x14ac:dyDescent="0.25">
      <c r="B45" s="241" t="s">
        <v>183</v>
      </c>
      <c r="C45" s="29"/>
      <c r="D45" s="29"/>
      <c r="E45" s="29"/>
      <c r="F45" s="29"/>
      <c r="G45" s="29"/>
      <c r="H45" s="29"/>
      <c r="I45" s="29"/>
      <c r="J45" s="29"/>
      <c r="K45" s="29">
        <v>242109.12821622068</v>
      </c>
      <c r="L45" s="29"/>
      <c r="M45" s="29"/>
      <c r="N45" s="31">
        <v>0.4008840778626625</v>
      </c>
      <c r="O45" s="29">
        <v>391384.01224089495</v>
      </c>
      <c r="P45" s="31">
        <v>0.41806446855992052</v>
      </c>
      <c r="Q45" s="31">
        <v>0.16626303352834634</v>
      </c>
      <c r="R45" s="22">
        <v>0.61656033014732592</v>
      </c>
      <c r="S45" s="20">
        <v>149274.88402467428</v>
      </c>
      <c r="T45" s="20"/>
      <c r="AE45" s="1" t="s">
        <v>184</v>
      </c>
    </row>
    <row r="46" spans="2:31" s="4" customFormat="1" hidden="1" x14ac:dyDescent="0.25">
      <c r="B46" s="241" t="s">
        <v>185</v>
      </c>
      <c r="C46" s="29"/>
      <c r="D46" s="29"/>
      <c r="E46" s="29"/>
      <c r="F46" s="29"/>
      <c r="G46" s="29"/>
      <c r="H46" s="29"/>
      <c r="I46" s="29"/>
      <c r="J46" s="29"/>
      <c r="K46" s="29">
        <v>85278.510117630256</v>
      </c>
      <c r="L46" s="29"/>
      <c r="M46" s="29"/>
      <c r="N46" s="31">
        <v>0.14120408074608695</v>
      </c>
      <c r="O46" s="29">
        <v>114543.53140392336</v>
      </c>
      <c r="P46" s="31">
        <v>0.12235190780834407</v>
      </c>
      <c r="Q46" s="31">
        <v>4.8659000895887379E-2</v>
      </c>
      <c r="R46" s="22">
        <v>0.34316994100771625</v>
      </c>
      <c r="S46" s="20">
        <v>29265.021286293108</v>
      </c>
      <c r="T46" s="20"/>
      <c r="AE46" s="1" t="s">
        <v>186</v>
      </c>
    </row>
    <row r="47" spans="2:31" s="4" customFormat="1" ht="7.5" hidden="1" customHeight="1" x14ac:dyDescent="0.25">
      <c r="B47" s="242"/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AE47" s="1" t="s">
        <v>187</v>
      </c>
    </row>
    <row r="48" spans="2:31" s="4" customFormat="1" hidden="1" x14ac:dyDescent="0.25">
      <c r="B48" s="291" t="s">
        <v>188</v>
      </c>
      <c r="C48" s="291"/>
      <c r="D48" s="291"/>
      <c r="E48" s="291"/>
      <c r="F48" s="291"/>
      <c r="G48" s="291"/>
      <c r="H48" s="291"/>
      <c r="I48" s="291"/>
      <c r="J48" s="291"/>
      <c r="K48" s="291"/>
      <c r="L48" s="291"/>
      <c r="M48" s="291"/>
      <c r="N48" s="291"/>
      <c r="O48" s="291"/>
      <c r="P48" s="291"/>
      <c r="Q48" s="291"/>
      <c r="R48" s="291"/>
      <c r="S48" s="291"/>
      <c r="T48" s="49"/>
      <c r="AE48" s="1" t="s">
        <v>189</v>
      </c>
    </row>
    <row r="49" spans="3:31" s="4" customFormat="1" hidden="1" x14ac:dyDescent="0.25">
      <c r="AE49" s="1"/>
    </row>
    <row r="50" spans="3:31" hidden="1" x14ac:dyDescent="0.25">
      <c r="C50" s="125"/>
      <c r="D50" s="125"/>
      <c r="E50" s="125"/>
      <c r="F50" s="125"/>
      <c r="G50" s="125"/>
      <c r="H50" s="125"/>
      <c r="I50" s="125"/>
      <c r="J50" s="125"/>
      <c r="K50" s="125">
        <v>0.54208815860874948</v>
      </c>
      <c r="L50" s="125"/>
      <c r="M50" s="125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66" t="s">
        <v>204</v>
      </c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Z131" s="1"/>
    </row>
    <row r="132" spans="1:31" s="4" customFormat="1" ht="6" customHeight="1" x14ac:dyDescent="0.25">
      <c r="Z132" s="1"/>
    </row>
    <row r="133" spans="1:31" s="4" customFormat="1" ht="45" x14ac:dyDescent="0.25">
      <c r="A133" s="1"/>
      <c r="C133" s="185">
        <v>2021</v>
      </c>
      <c r="D133" s="185">
        <v>2022</v>
      </c>
      <c r="E133" s="185">
        <v>2023</v>
      </c>
      <c r="F133" s="185">
        <v>2024</v>
      </c>
      <c r="G133" s="173" t="str">
        <f>CONCATENATE("var. ",RIGHT(F133,2),"/",RIGHT(E133,2))</f>
        <v>var. 24/23</v>
      </c>
      <c r="H133" s="173" t="str">
        <f>CONCATENATE("dif. ",RIGHT(F133,2),"/",RIGHT(E133,2))</f>
        <v>dif. 24/23</v>
      </c>
      <c r="I133" s="248" t="str">
        <f>CONCATENATE("%/s total Tenerife ",RIGHT(F133,4))</f>
        <v>%/s total Tenerife 2024</v>
      </c>
      <c r="J133" s="185">
        <v>2025</v>
      </c>
      <c r="K133" s="248" t="str">
        <f>CONCATENATE("%/s total Tenerife ",RIGHT(J133,4))</f>
        <v>%/s total Tenerife 2025</v>
      </c>
      <c r="L133" s="173" t="str">
        <f>CONCATENATE("var. ",RIGHT(J133,2),"/",RIGHT(F133,2))</f>
        <v>var. 25/24</v>
      </c>
      <c r="M133" s="173" t="str">
        <f>CONCATENATE("dif. ",RIGHT(J133,2),"/",RIGHT(F133,2))</f>
        <v>dif. 25/24</v>
      </c>
      <c r="N133" s="173" t="str">
        <f>CONCATENATE("var. ",RIGHT(J133,2),"/",RIGHT(D133,2))</f>
        <v>var. 25/22</v>
      </c>
      <c r="O133" s="173" t="str">
        <f>CONCATENATE("dif. ",RIGHT(J133,2),"/",RIGHT(D133,2))</f>
        <v>dif. 25/22</v>
      </c>
      <c r="Z133" s="1"/>
    </row>
    <row r="134" spans="1:31" ht="18.75" x14ac:dyDescent="0.3">
      <c r="A134" s="1"/>
      <c r="B134" s="230" t="s">
        <v>203</v>
      </c>
      <c r="C134" s="234">
        <v>51310</v>
      </c>
      <c r="D134" s="234">
        <v>65021</v>
      </c>
      <c r="E134" s="234">
        <v>80189</v>
      </c>
      <c r="F134" s="234">
        <v>80800</v>
      </c>
      <c r="G134" s="235">
        <f>F134/E134-1</f>
        <v>7.6194989337690089E-3</v>
      </c>
      <c r="H134" s="234">
        <f>F134-E134</f>
        <v>611</v>
      </c>
      <c r="I134" s="235">
        <f>F134/F$134</f>
        <v>1</v>
      </c>
      <c r="J134" s="234">
        <v>84941</v>
      </c>
      <c r="K134" s="235">
        <f>J134/J$134</f>
        <v>1</v>
      </c>
      <c r="L134" s="235">
        <f>J134/F134-1</f>
        <v>5.1250000000000018E-2</v>
      </c>
      <c r="M134" s="234">
        <f>J134-F134</f>
        <v>4141</v>
      </c>
      <c r="N134" s="235">
        <f>J134/D134-1</f>
        <v>0.30636255978837612</v>
      </c>
      <c r="O134" s="234">
        <f>J134-D134</f>
        <v>19920</v>
      </c>
      <c r="Q134" s="29"/>
      <c r="R134" s="81"/>
      <c r="Z134" s="1" t="s">
        <v>180</v>
      </c>
      <c r="AE134"/>
    </row>
    <row r="135" spans="1:31" s="4" customFormat="1" x14ac:dyDescent="0.25">
      <c r="A135" s="1"/>
      <c r="B135" s="251" t="s">
        <v>197</v>
      </c>
      <c r="C135" s="252">
        <v>51310</v>
      </c>
      <c r="D135" s="252">
        <v>65021</v>
      </c>
      <c r="E135" s="252">
        <v>80189</v>
      </c>
      <c r="F135" s="252">
        <v>80800</v>
      </c>
      <c r="G135" s="256">
        <f>IFERROR(F135/E135-1,"-")</f>
        <v>7.6194989337690089E-3</v>
      </c>
      <c r="H135" s="252">
        <f t="shared" ref="H135:H138" si="14">F135-E135</f>
        <v>611</v>
      </c>
      <c r="I135" s="254">
        <f>F135/F$134</f>
        <v>1</v>
      </c>
      <c r="J135" s="252">
        <v>84941</v>
      </c>
      <c r="K135" s="253">
        <f t="shared" ref="K135:K138" si="15">J135/J$134</f>
        <v>1</v>
      </c>
      <c r="L135" s="254">
        <f t="shared" ref="L135:L138" si="16">J135/F135-1</f>
        <v>5.1250000000000018E-2</v>
      </c>
      <c r="M135" s="255">
        <f t="shared" ref="M135:M138" si="17">J135-F135</f>
        <v>4141</v>
      </c>
      <c r="N135" s="253">
        <f t="shared" ref="N135:N138" si="18">J135/D135-1</f>
        <v>0.30636255978837612</v>
      </c>
      <c r="O135" s="252">
        <f t="shared" ref="O135:O138" si="19">J135-D135</f>
        <v>19920</v>
      </c>
      <c r="Q135" s="29"/>
      <c r="R135" s="81"/>
      <c r="Z135" s="1" t="s">
        <v>182</v>
      </c>
    </row>
    <row r="136" spans="1:31" s="4" customFormat="1" x14ac:dyDescent="0.25">
      <c r="A136" s="108" t="s">
        <v>177</v>
      </c>
      <c r="B136" s="4" t="s">
        <v>70</v>
      </c>
      <c r="C136" s="258">
        <v>17131</v>
      </c>
      <c r="D136" s="258">
        <v>22240</v>
      </c>
      <c r="E136" s="258">
        <v>31163</v>
      </c>
      <c r="F136" s="258">
        <v>28389</v>
      </c>
      <c r="G136" s="262">
        <f t="shared" ref="G136:G138" si="20">IFERROR(F136/E136-1,"-")</f>
        <v>-8.9015820042999683E-2</v>
      </c>
      <c r="H136" s="258">
        <f t="shared" si="14"/>
        <v>-2774</v>
      </c>
      <c r="I136" s="266">
        <f t="shared" ref="I136:I138" si="21">F136/F$134</f>
        <v>0.35134900990099011</v>
      </c>
      <c r="J136" s="258">
        <v>23747</v>
      </c>
      <c r="K136" s="264">
        <f t="shared" si="15"/>
        <v>0.27957052542352928</v>
      </c>
      <c r="L136" s="266">
        <f t="shared" si="16"/>
        <v>-0.16351403712705626</v>
      </c>
      <c r="M136" s="265">
        <f t="shared" si="17"/>
        <v>-4642</v>
      </c>
      <c r="N136" s="264">
        <f t="shared" si="18"/>
        <v>6.7760791366906492E-2</v>
      </c>
      <c r="O136" s="258">
        <f t="shared" si="19"/>
        <v>1507</v>
      </c>
      <c r="Q136" s="29"/>
      <c r="R136" s="81"/>
      <c r="Z136" s="1"/>
    </row>
    <row r="137" spans="1:31" s="4" customFormat="1" x14ac:dyDescent="0.25">
      <c r="A137" s="108" t="s">
        <v>68</v>
      </c>
      <c r="B137" s="4" t="s">
        <v>63</v>
      </c>
      <c r="C137" s="258">
        <v>34179</v>
      </c>
      <c r="D137" s="258">
        <v>42781</v>
      </c>
      <c r="E137" s="258">
        <v>49026</v>
      </c>
      <c r="F137" s="258">
        <v>52411</v>
      </c>
      <c r="G137" s="260">
        <f t="shared" si="20"/>
        <v>6.9044996532452219E-2</v>
      </c>
      <c r="H137" s="258">
        <f t="shared" si="14"/>
        <v>3385</v>
      </c>
      <c r="I137" s="270">
        <f t="shared" si="21"/>
        <v>0.64865099009900995</v>
      </c>
      <c r="J137" s="258">
        <v>61194</v>
      </c>
      <c r="K137" s="264">
        <f t="shared" si="15"/>
        <v>0.72042947457647077</v>
      </c>
      <c r="L137" s="266">
        <f t="shared" si="16"/>
        <v>0.16757932495086902</v>
      </c>
      <c r="M137" s="265">
        <f t="shared" si="17"/>
        <v>8783</v>
      </c>
      <c r="N137" s="264">
        <f t="shared" si="18"/>
        <v>0.43040134639208993</v>
      </c>
      <c r="O137" s="258">
        <f t="shared" si="19"/>
        <v>18413</v>
      </c>
      <c r="Q137" s="29"/>
      <c r="R137" s="81"/>
      <c r="Z137" s="1"/>
    </row>
    <row r="138" spans="1:31" s="4" customFormat="1" x14ac:dyDescent="0.25">
      <c r="A138" s="1"/>
      <c r="B138" s="251" t="s">
        <v>198</v>
      </c>
      <c r="C138" s="252" t="e">
        <v>#REF!</v>
      </c>
      <c r="D138" s="252" t="e">
        <v>#REF!</v>
      </c>
      <c r="E138" s="252" t="e">
        <v>#REF!</v>
      </c>
      <c r="F138" s="252" t="e">
        <v>#REF!</v>
      </c>
      <c r="G138" s="256" t="str">
        <f t="shared" si="20"/>
        <v>-</v>
      </c>
      <c r="H138" s="252" t="e">
        <f t="shared" si="14"/>
        <v>#REF!</v>
      </c>
      <c r="I138" s="254" t="e">
        <f t="shared" si="21"/>
        <v>#REF!</v>
      </c>
      <c r="J138" s="252" t="e">
        <v>#REF!</v>
      </c>
      <c r="K138" s="253" t="e">
        <f t="shared" si="15"/>
        <v>#REF!</v>
      </c>
      <c r="L138" s="254" t="e">
        <f t="shared" si="16"/>
        <v>#REF!</v>
      </c>
      <c r="M138" s="255" t="e">
        <f t="shared" si="17"/>
        <v>#REF!</v>
      </c>
      <c r="N138" s="253" t="e">
        <f t="shared" si="18"/>
        <v>#REF!</v>
      </c>
      <c r="O138" s="252" t="e">
        <f t="shared" si="19"/>
        <v>#REF!</v>
      </c>
      <c r="Q138" s="29"/>
      <c r="R138" s="81"/>
      <c r="Z138" s="1"/>
    </row>
    <row r="139" spans="1:31" s="4" customFormat="1" ht="7.5" customHeight="1" x14ac:dyDescent="0.25">
      <c r="B139" s="242"/>
      <c r="C139" s="242"/>
      <c r="D139" s="242"/>
      <c r="E139" s="242"/>
      <c r="F139" s="242"/>
      <c r="G139" s="242"/>
      <c r="H139" s="242"/>
      <c r="I139" s="242"/>
      <c r="J139" s="242"/>
      <c r="K139" s="242"/>
      <c r="L139" s="242"/>
      <c r="M139" s="242"/>
      <c r="N139" s="242"/>
      <c r="O139" s="242"/>
      <c r="Z139" s="1" t="s">
        <v>187</v>
      </c>
    </row>
    <row r="140" spans="1:31" s="4" customFormat="1" ht="32.25" customHeight="1" x14ac:dyDescent="0.25">
      <c r="B140" s="315" t="s">
        <v>201</v>
      </c>
      <c r="C140" s="315"/>
      <c r="D140" s="315"/>
      <c r="E140" s="315"/>
      <c r="F140" s="315"/>
      <c r="G140" s="315"/>
      <c r="H140" s="315"/>
      <c r="I140" s="315"/>
      <c r="J140" s="315"/>
      <c r="K140" s="315"/>
      <c r="L140" s="315"/>
      <c r="M140" s="315"/>
      <c r="N140" s="315"/>
      <c r="O140" s="315"/>
      <c r="Z140" s="1" t="s">
        <v>189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58008-2ACA-473D-B7EC-F0FA6465A1AC}">
  <sheetPr>
    <tabColor theme="4" tint="0.39997558519241921"/>
  </sheetPr>
  <dimension ref="A1:AE142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20" width="12.42578125" customWidth="1"/>
    <col min="27" max="27" width="14" hidden="1" customWidth="1"/>
    <col min="31" max="31" width="11.42578125" style="1"/>
  </cols>
  <sheetData>
    <row r="1" spans="1:31" ht="30" customHeight="1" x14ac:dyDescent="0.25">
      <c r="B1" s="1" t="s">
        <v>195</v>
      </c>
      <c r="G1" s="229"/>
      <c r="H1" s="229"/>
      <c r="I1" s="229"/>
      <c r="K1" s="229"/>
    </row>
    <row r="3" spans="1:31" s="4" customFormat="1" ht="25.5" customHeight="1" thickBot="1" x14ac:dyDescent="0.3">
      <c r="B3" s="66" t="s">
        <v>319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A5" s="1"/>
      <c r="C5" s="247" t="s">
        <v>270</v>
      </c>
      <c r="D5" s="247" t="s">
        <v>271</v>
      </c>
      <c r="E5" s="247" t="s">
        <v>272</v>
      </c>
      <c r="F5" s="248" t="str">
        <f>CONCATENATE("%/s total Tenerife ",RIGHT(E5,4))</f>
        <v>%/s total Tenerife 2023</v>
      </c>
      <c r="G5" s="247" t="s">
        <v>273</v>
      </c>
      <c r="H5" s="248" t="str">
        <f>CONCATENATE("var. ",RIGHT(G5,2),"/",RIGHT(E5,2))</f>
        <v>var. 24/23</v>
      </c>
      <c r="I5" s="248" t="str">
        <f>CONCATENATE("dif. ",RIGHT(G5,2),"/",RIGHT(E5,2))</f>
        <v>dif. 24/23</v>
      </c>
      <c r="J5" s="248" t="str">
        <f>CONCATENATE("%/s total Tenerife ",RIGHT(G5,4))</f>
        <v>%/s total Tenerife 2024</v>
      </c>
      <c r="K5" s="247" t="s">
        <v>274</v>
      </c>
      <c r="L5" s="248" t="str">
        <f>CONCATENATE("var. ",RIGHT(K5,2),"/",RIGHT(G5,2))</f>
        <v>var. 25/24</v>
      </c>
      <c r="M5" s="248" t="str">
        <f>CONCATENATE("dif. ",RIGHT(K5,2),"/",RIGHT(G5,2))</f>
        <v>dif. 25/24</v>
      </c>
      <c r="N5" s="248" t="str">
        <f>CONCATENATE("%/s total Tenerife ",RIGHT(K5,4))</f>
        <v>%/s total Tenerife 2025</v>
      </c>
      <c r="O5" s="247" t="s">
        <v>275</v>
      </c>
      <c r="P5" s="248" t="str">
        <f>CONCATENATE("var. ",RIGHT(O5,2),"/",RIGHT(K5,2))</f>
        <v>var. 26/25</v>
      </c>
      <c r="Q5" s="248" t="str">
        <f>CONCATENATE("dif. ",RIGHT(O5,2),"/",RIGHT(K5,2))</f>
        <v>dif. 26/25</v>
      </c>
      <c r="R5" s="248" t="str">
        <f>CONCATENATE("var. ",RIGHT(O5,2),"/",RIGHT(C5,2))</f>
        <v>var. 26/21</v>
      </c>
      <c r="S5" s="248" t="str">
        <f>CONCATENATE("dif. ",RIGHT(O5,2),"/",RIGHT(C5,2))</f>
        <v>dif. 26/21</v>
      </c>
      <c r="T5" s="248" t="str">
        <f>CONCATENATE("%/s total Tenerife ",RIGHT(O5,4))</f>
        <v>%/s total Tenerife 2026</v>
      </c>
      <c r="AE5" s="1"/>
    </row>
    <row r="6" spans="1:31" ht="18.75" x14ac:dyDescent="0.3">
      <c r="A6" s="1"/>
      <c r="B6" s="230" t="s">
        <v>205</v>
      </c>
      <c r="C6" s="249">
        <v>25464</v>
      </c>
      <c r="D6" s="249">
        <v>38799</v>
      </c>
      <c r="E6" s="249">
        <v>40952</v>
      </c>
      <c r="F6" s="250">
        <f>E6/$E$6</f>
        <v>1</v>
      </c>
      <c r="G6" s="249">
        <v>43382</v>
      </c>
      <c r="H6" s="250">
        <f>G6/E6-1</f>
        <v>5.9337761281500256E-2</v>
      </c>
      <c r="I6" s="249">
        <f>G6-E6</f>
        <v>2430</v>
      </c>
      <c r="J6" s="250">
        <f>G6/$G$6</f>
        <v>1</v>
      </c>
      <c r="K6" s="249">
        <v>55226</v>
      </c>
      <c r="L6" s="250">
        <f t="shared" ref="L6:L12" si="0">K6/G6-1</f>
        <v>0.27301645843898381</v>
      </c>
      <c r="M6" s="249">
        <f t="shared" ref="M6:M12" si="1">K6-G6</f>
        <v>11844</v>
      </c>
      <c r="N6" s="250">
        <f>K6/$K$6</f>
        <v>1</v>
      </c>
      <c r="O6" s="249">
        <v>55216</v>
      </c>
      <c r="P6" s="250">
        <f t="shared" ref="P6:P11" si="2">O6/K6-1</f>
        <v>-1.8107413174950349E-4</v>
      </c>
      <c r="Q6" s="249">
        <f t="shared" ref="Q6:Q12" si="3">O6-K6</f>
        <v>-10</v>
      </c>
      <c r="R6" s="250">
        <f>O6/C6-1</f>
        <v>1.1683945962928055</v>
      </c>
      <c r="S6" s="249">
        <f>O6-C6</f>
        <v>29752</v>
      </c>
      <c r="T6" s="250">
        <f>O6/$O$6</f>
        <v>1</v>
      </c>
      <c r="V6" s="29"/>
      <c r="W6" s="81"/>
      <c r="AE6" s="1" t="s">
        <v>180</v>
      </c>
    </row>
    <row r="7" spans="1:31" s="4" customFormat="1" x14ac:dyDescent="0.25">
      <c r="A7" s="1"/>
      <c r="B7" s="251" t="s">
        <v>206</v>
      </c>
      <c r="C7" s="252">
        <v>25464</v>
      </c>
      <c r="D7" s="252">
        <v>38799</v>
      </c>
      <c r="E7" s="252">
        <v>40952</v>
      </c>
      <c r="F7" s="253">
        <f t="shared" ref="F7:F12" si="4">E7/$E$6</f>
        <v>1</v>
      </c>
      <c r="G7" s="252">
        <v>43382</v>
      </c>
      <c r="H7" s="254">
        <f>G7/E7-1</f>
        <v>5.9337761281500256E-2</v>
      </c>
      <c r="I7" s="255">
        <f>G7-E7</f>
        <v>2430</v>
      </c>
      <c r="J7" s="253">
        <f>G7/$G$6</f>
        <v>1</v>
      </c>
      <c r="K7" s="252">
        <v>55226</v>
      </c>
      <c r="L7" s="256">
        <f t="shared" si="0"/>
        <v>0.27301645843898381</v>
      </c>
      <c r="M7" s="257">
        <f t="shared" si="1"/>
        <v>11844</v>
      </c>
      <c r="N7" s="253">
        <f>K7/$K$6</f>
        <v>1</v>
      </c>
      <c r="O7" s="252">
        <v>55216</v>
      </c>
      <c r="P7" s="254">
        <f t="shared" si="2"/>
        <v>-1.8107413174950349E-4</v>
      </c>
      <c r="Q7" s="255">
        <f t="shared" si="3"/>
        <v>-10</v>
      </c>
      <c r="R7" s="254">
        <f t="shared" ref="R7:R10" si="5">O7/C7-1</f>
        <v>1.1683945962928055</v>
      </c>
      <c r="S7" s="255">
        <f t="shared" ref="S7:S10" si="6">O7-C7</f>
        <v>29752</v>
      </c>
      <c r="T7" s="253">
        <f>O7/$O$6</f>
        <v>1</v>
      </c>
      <c r="V7" s="29"/>
      <c r="W7" s="81"/>
      <c r="AE7" s="1" t="s">
        <v>182</v>
      </c>
    </row>
    <row r="8" spans="1:31" s="4" customFormat="1" x14ac:dyDescent="0.25">
      <c r="A8" s="108" t="s">
        <v>177</v>
      </c>
      <c r="B8" s="4" t="s">
        <v>70</v>
      </c>
      <c r="C8" s="258">
        <v>7441</v>
      </c>
      <c r="D8" s="258">
        <v>15703</v>
      </c>
      <c r="E8" s="258">
        <v>17024</v>
      </c>
      <c r="F8" s="259">
        <f t="shared" si="4"/>
        <v>0.41570619261574526</v>
      </c>
      <c r="G8" s="258">
        <v>23922</v>
      </c>
      <c r="H8" s="260">
        <f>IFERROR(G8/E8-1,"-")</f>
        <v>0.4051926691729324</v>
      </c>
      <c r="I8" s="261">
        <f t="shared" ref="I8:I12" si="7">G8-E8</f>
        <v>6898</v>
      </c>
      <c r="J8" s="259">
        <f t="shared" ref="J8:J12" si="8">G8/$G$6</f>
        <v>0.55142685906597211</v>
      </c>
      <c r="K8" s="258">
        <v>21876</v>
      </c>
      <c r="L8" s="262">
        <f>IFERROR(K8/G8-1,"-")</f>
        <v>-8.552796588913969E-2</v>
      </c>
      <c r="M8" s="263">
        <f>IF(G8=0,"nd",K8-G8)</f>
        <v>-2046</v>
      </c>
      <c r="N8" s="264">
        <f t="shared" ref="N8:N12" si="9">K8/$K$6</f>
        <v>0.39611777061528991</v>
      </c>
      <c r="O8" s="258">
        <v>23340</v>
      </c>
      <c r="P8" s="262">
        <f>IFERROR(O8/K8-1,"-")</f>
        <v>6.6922654964344463E-2</v>
      </c>
      <c r="Q8" s="265">
        <f t="shared" si="3"/>
        <v>1464</v>
      </c>
      <c r="R8" s="262">
        <f>IFERROR(O8/C8-1,"-")</f>
        <v>2.1366751780674642</v>
      </c>
      <c r="S8" s="265">
        <f t="shared" si="6"/>
        <v>15899</v>
      </c>
      <c r="T8" s="264">
        <f t="shared" ref="T8:T12" si="10">O8/$O$6</f>
        <v>0.42270356418429439</v>
      </c>
      <c r="V8" s="29"/>
      <c r="W8" s="81"/>
      <c r="AE8" s="1"/>
    </row>
    <row r="9" spans="1:31" s="4" customFormat="1" x14ac:dyDescent="0.25">
      <c r="A9" s="108" t="s">
        <v>68</v>
      </c>
      <c r="B9" s="4" t="s">
        <v>63</v>
      </c>
      <c r="C9" s="258">
        <v>18023</v>
      </c>
      <c r="D9" s="258">
        <v>23096</v>
      </c>
      <c r="E9" s="258">
        <v>23928</v>
      </c>
      <c r="F9" s="264">
        <f t="shared" si="4"/>
        <v>0.58429380738425474</v>
      </c>
      <c r="G9" s="258">
        <v>19460</v>
      </c>
      <c r="H9" s="260">
        <f>IFERROR(G9/E9-1,"-")</f>
        <v>-0.18672684720829158</v>
      </c>
      <c r="I9" s="265">
        <f t="shared" si="7"/>
        <v>-4468</v>
      </c>
      <c r="J9" s="264">
        <f t="shared" si="8"/>
        <v>0.44857314093402795</v>
      </c>
      <c r="K9" s="258">
        <v>33350</v>
      </c>
      <c r="L9" s="262">
        <f>IFERROR(K9/G9-1,"-")</f>
        <v>0.71377183967112035</v>
      </c>
      <c r="M9" s="263">
        <f>IF(G9=0,"nd",K9-G9)</f>
        <v>13890</v>
      </c>
      <c r="N9" s="264">
        <f t="shared" si="9"/>
        <v>0.60388222938471015</v>
      </c>
      <c r="O9" s="258">
        <v>31876</v>
      </c>
      <c r="P9" s="262">
        <f t="shared" si="2"/>
        <v>-4.4197901049475297E-2</v>
      </c>
      <c r="Q9" s="265">
        <f t="shared" si="3"/>
        <v>-1474</v>
      </c>
      <c r="R9" s="266">
        <f t="shared" si="5"/>
        <v>0.76862897408866449</v>
      </c>
      <c r="S9" s="265">
        <f t="shared" si="6"/>
        <v>13853</v>
      </c>
      <c r="T9" s="264">
        <f t="shared" si="10"/>
        <v>0.57729643581570556</v>
      </c>
      <c r="V9" s="29"/>
      <c r="W9" s="81"/>
      <c r="AE9" s="1"/>
    </row>
    <row r="10" spans="1:31" s="4" customFormat="1" x14ac:dyDescent="0.25">
      <c r="A10" s="1"/>
      <c r="B10" s="251" t="s">
        <v>198</v>
      </c>
      <c r="C10" s="267" t="s">
        <v>239</v>
      </c>
      <c r="D10" s="267" t="s">
        <v>239</v>
      </c>
      <c r="E10" s="267" t="s">
        <v>239</v>
      </c>
      <c r="F10" s="268" t="str">
        <f>IFERROR(E10/$E$6,"-")</f>
        <v>-</v>
      </c>
      <c r="G10" s="267" t="s">
        <v>239</v>
      </c>
      <c r="H10" s="256" t="str">
        <f>IFERROR(G10/E10-1,"-")</f>
        <v>-</v>
      </c>
      <c r="I10" s="257" t="str">
        <f>IFERROR(G10-E10,"-")</f>
        <v>-</v>
      </c>
      <c r="J10" s="268" t="str">
        <f>IFERROR(G10/$G$6,"-")</f>
        <v>-</v>
      </c>
      <c r="K10" s="267" t="s">
        <v>239</v>
      </c>
      <c r="L10" s="256" t="str">
        <f>IFERROR(K10/G10-1,"-")</f>
        <v>-</v>
      </c>
      <c r="M10" s="257" t="str">
        <f>IFERROR(K10-G10,"-")</f>
        <v>-</v>
      </c>
      <c r="N10" s="268" t="str">
        <f>IFERROR(K10/$K$6,"-")</f>
        <v>-</v>
      </c>
      <c r="O10" s="267" t="s">
        <v>239</v>
      </c>
      <c r="P10" s="256" t="str">
        <f>IFERROR(O10/K10-1,"-")</f>
        <v>-</v>
      </c>
      <c r="Q10" s="257" t="str">
        <f>IFERROR(O10-K10,"-")</f>
        <v>-</v>
      </c>
      <c r="R10" s="256" t="e">
        <f t="shared" si="5"/>
        <v>#VALUE!</v>
      </c>
      <c r="S10" s="257" t="e">
        <f t="shared" si="6"/>
        <v>#VALUE!</v>
      </c>
      <c r="T10" s="268" t="str">
        <f>IFERROR(O10/$O$6,"-")</f>
        <v>-</v>
      </c>
      <c r="V10" s="29"/>
      <c r="W10" s="81"/>
      <c r="AE10" s="1"/>
    </row>
    <row r="11" spans="1:31" s="4" customFormat="1" hidden="1" x14ac:dyDescent="0.25">
      <c r="A11" s="1"/>
      <c r="B11" s="99" t="s">
        <v>177</v>
      </c>
      <c r="C11" s="258" t="e">
        <v>#REF!</v>
      </c>
      <c r="D11" s="258" t="e">
        <v>#REF!</v>
      </c>
      <c r="E11" s="258" t="e">
        <v>#REF!</v>
      </c>
      <c r="F11" s="264" t="e">
        <f t="shared" si="4"/>
        <v>#REF!</v>
      </c>
      <c r="G11" s="258" t="e">
        <v>#REF!</v>
      </c>
      <c r="H11" s="266" t="e">
        <f t="shared" ref="H11:H12" si="11">G11/E11-1</f>
        <v>#REF!</v>
      </c>
      <c r="I11" s="265" t="e">
        <f t="shared" si="7"/>
        <v>#REF!</v>
      </c>
      <c r="J11" s="264" t="e">
        <f t="shared" si="8"/>
        <v>#REF!</v>
      </c>
      <c r="K11" s="258" t="e">
        <v>#REF!</v>
      </c>
      <c r="L11" s="262" t="e">
        <f>K11/G11-1</f>
        <v>#REF!</v>
      </c>
      <c r="M11" s="265" t="e">
        <f t="shared" si="1"/>
        <v>#REF!</v>
      </c>
      <c r="N11" s="264" t="e">
        <f t="shared" si="9"/>
        <v>#REF!</v>
      </c>
      <c r="O11" s="258" t="e">
        <v>#REF!</v>
      </c>
      <c r="P11" s="266" t="e">
        <f t="shared" si="2"/>
        <v>#REF!</v>
      </c>
      <c r="Q11" s="265" t="e">
        <f t="shared" si="3"/>
        <v>#REF!</v>
      </c>
      <c r="R11" s="266" t="e">
        <f t="shared" ref="R11:R12" si="12">O11/D11-1</f>
        <v>#REF!</v>
      </c>
      <c r="S11" s="265" t="e">
        <f t="shared" ref="S11:S12" si="13">O11-D11</f>
        <v>#REF!</v>
      </c>
      <c r="T11" s="264" t="e">
        <f t="shared" si="10"/>
        <v>#REF!</v>
      </c>
      <c r="V11" s="29"/>
      <c r="W11" s="81"/>
      <c r="AE11" s="1"/>
    </row>
    <row r="12" spans="1:31" s="4" customFormat="1" hidden="1" x14ac:dyDescent="0.25">
      <c r="A12" s="1"/>
      <c r="B12" s="99" t="s">
        <v>68</v>
      </c>
      <c r="C12" s="258" t="e">
        <v>#REF!</v>
      </c>
      <c r="D12" s="258" t="e">
        <v>#REF!</v>
      </c>
      <c r="E12" s="258" t="e">
        <v>#REF!</v>
      </c>
      <c r="F12" s="264" t="e">
        <f t="shared" si="4"/>
        <v>#REF!</v>
      </c>
      <c r="G12" s="258" t="e">
        <v>#REF!</v>
      </c>
      <c r="H12" s="266" t="e">
        <f t="shared" si="11"/>
        <v>#REF!</v>
      </c>
      <c r="I12" s="265" t="e">
        <f t="shared" si="7"/>
        <v>#REF!</v>
      </c>
      <c r="J12" s="264" t="e">
        <f t="shared" si="8"/>
        <v>#REF!</v>
      </c>
      <c r="K12" s="258" t="e">
        <v>#REF!</v>
      </c>
      <c r="L12" s="262" t="e">
        <f t="shared" si="0"/>
        <v>#REF!</v>
      </c>
      <c r="M12" s="265" t="e">
        <f t="shared" si="1"/>
        <v>#REF!</v>
      </c>
      <c r="N12" s="264" t="e">
        <f t="shared" si="9"/>
        <v>#REF!</v>
      </c>
      <c r="O12" s="258" t="e">
        <v>#REF!</v>
      </c>
      <c r="P12" s="266" t="e">
        <f>O12/K12-1</f>
        <v>#REF!</v>
      </c>
      <c r="Q12" s="265" t="e">
        <f t="shared" si="3"/>
        <v>#REF!</v>
      </c>
      <c r="R12" s="266" t="e">
        <f t="shared" si="12"/>
        <v>#REF!</v>
      </c>
      <c r="S12" s="265" t="e">
        <f t="shared" si="13"/>
        <v>#REF!</v>
      </c>
      <c r="T12" s="264" t="e">
        <f t="shared" si="10"/>
        <v>#REF!</v>
      </c>
      <c r="V12" s="29"/>
      <c r="W12" s="81"/>
      <c r="AE12" s="1"/>
    </row>
    <row r="13" spans="1:31" s="4" customFormat="1" ht="7.5" customHeight="1" x14ac:dyDescent="0.25">
      <c r="A13" s="1"/>
      <c r="B13" s="242"/>
      <c r="C13" s="242"/>
      <c r="D13" s="242"/>
      <c r="E13" s="242"/>
      <c r="F13" s="242"/>
      <c r="G13" s="242"/>
      <c r="H13" s="242"/>
      <c r="I13" s="242"/>
      <c r="J13" s="242"/>
      <c r="K13" s="242"/>
      <c r="L13" s="269"/>
      <c r="M13" s="242"/>
      <c r="N13" s="242"/>
      <c r="O13" s="242"/>
      <c r="P13" s="242"/>
      <c r="Q13" s="242"/>
      <c r="R13" s="242"/>
      <c r="S13" s="242"/>
      <c r="T13" s="242"/>
      <c r="AE13" s="1" t="s">
        <v>187</v>
      </c>
    </row>
    <row r="14" spans="1:31" s="4" customFormat="1" x14ac:dyDescent="0.25">
      <c r="A14" s="1"/>
      <c r="B14" s="171" t="s">
        <v>188</v>
      </c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1"/>
      <c r="S14" s="171"/>
      <c r="T14" s="171"/>
      <c r="AE14" s="1" t="s">
        <v>189</v>
      </c>
    </row>
    <row r="15" spans="1:31" s="4" customFormat="1" x14ac:dyDescent="0.25">
      <c r="AE15" s="1"/>
    </row>
    <row r="19" spans="27:27" x14ac:dyDescent="0.25">
      <c r="AA19" t="str">
        <f>CONCATENATE("hotelera: 
",FIXED(O7,0)," viajeros 
cuota: ",FIXED(T7*100,1),"%")</f>
        <v>hotelera: 
55.216 viajeros 
cuota: 100,0%</v>
      </c>
    </row>
    <row r="20" spans="27:27" x14ac:dyDescent="0.25">
      <c r="AA20" t="e">
        <f>CONCATENATE("Apartamentos: 
",FIXED(O10,0)," viajeros
cuota: ",FIXED(T10*100,1),"%")</f>
        <v>#VALUE!</v>
      </c>
    </row>
    <row r="38" spans="2:31" s="4" customFormat="1" ht="15.75" hidden="1" customHeight="1" thickBot="1" x14ac:dyDescent="0.3">
      <c r="B38" s="273" t="s">
        <v>190</v>
      </c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85"/>
      <c r="AE38" s="1"/>
    </row>
    <row r="39" spans="2:31" s="4" customFormat="1" ht="6" hidden="1" customHeight="1" thickBot="1" x14ac:dyDescent="0.3">
      <c r="AE39" s="1"/>
    </row>
    <row r="40" spans="2:31" s="4" customFormat="1" ht="30" hidden="1" x14ac:dyDescent="0.25">
      <c r="C40" s="89"/>
      <c r="D40" s="89"/>
      <c r="E40" s="89"/>
      <c r="F40" s="89"/>
      <c r="G40" s="89"/>
      <c r="H40" s="89"/>
      <c r="I40" s="89"/>
      <c r="J40" s="89"/>
      <c r="K40" s="14">
        <v>2020</v>
      </c>
      <c r="L40" s="14"/>
      <c r="M40" s="14"/>
      <c r="N40" s="14" t="s">
        <v>191</v>
      </c>
      <c r="O40" s="14">
        <v>2021</v>
      </c>
      <c r="P40" s="14" t="s">
        <v>191</v>
      </c>
      <c r="Q40" s="14" t="s">
        <v>192</v>
      </c>
      <c r="R40" s="14" t="s">
        <v>193</v>
      </c>
      <c r="S40" s="14" t="s">
        <v>194</v>
      </c>
      <c r="T40" s="89"/>
      <c r="AE40" s="1"/>
    </row>
    <row r="41" spans="2:31" s="4" customFormat="1" ht="18.75" hidden="1" x14ac:dyDescent="0.3">
      <c r="B41" s="230" t="s">
        <v>178</v>
      </c>
      <c r="C41" s="231"/>
      <c r="D41" s="231"/>
      <c r="E41" s="231"/>
      <c r="F41" s="231"/>
      <c r="G41" s="231"/>
      <c r="H41" s="231"/>
      <c r="I41" s="231"/>
      <c r="J41" s="231"/>
      <c r="K41" s="231">
        <v>1824653</v>
      </c>
      <c r="L41" s="231"/>
      <c r="M41" s="231"/>
      <c r="N41" s="232"/>
      <c r="O41" s="231">
        <v>2354005</v>
      </c>
      <c r="P41" s="232"/>
      <c r="Q41" s="232">
        <v>1</v>
      </c>
      <c r="R41" s="232">
        <v>0.2901110512519367</v>
      </c>
      <c r="S41" s="231">
        <v>529352</v>
      </c>
      <c r="T41" s="243"/>
      <c r="AE41" s="1"/>
    </row>
    <row r="42" spans="2:31" ht="18.75" hidden="1" x14ac:dyDescent="0.3">
      <c r="B42" s="230" t="s">
        <v>179</v>
      </c>
      <c r="C42" s="231"/>
      <c r="D42" s="231"/>
      <c r="E42" s="231"/>
      <c r="F42" s="231"/>
      <c r="G42" s="231"/>
      <c r="H42" s="231"/>
      <c r="I42" s="231"/>
      <c r="J42" s="231"/>
      <c r="K42" s="231">
        <v>603938</v>
      </c>
      <c r="L42" s="231"/>
      <c r="M42" s="231"/>
      <c r="N42" s="232">
        <v>1</v>
      </c>
      <c r="O42" s="231">
        <v>936181</v>
      </c>
      <c r="P42" s="232">
        <v>1</v>
      </c>
      <c r="Q42" s="232">
        <v>0.39769711619134201</v>
      </c>
      <c r="R42" s="232">
        <v>0.55012766211101138</v>
      </c>
      <c r="S42" s="231">
        <v>332243</v>
      </c>
      <c r="T42" s="243"/>
      <c r="AE42" s="1" t="s">
        <v>180</v>
      </c>
    </row>
    <row r="43" spans="2:31" ht="15.75" hidden="1" x14ac:dyDescent="0.25">
      <c r="B43" s="233" t="s">
        <v>105</v>
      </c>
      <c r="C43" s="234"/>
      <c r="D43" s="234"/>
      <c r="E43" s="234"/>
      <c r="F43" s="234"/>
      <c r="G43" s="234"/>
      <c r="H43" s="234"/>
      <c r="I43" s="234"/>
      <c r="J43" s="234"/>
      <c r="K43" s="234">
        <v>276550.36166633503</v>
      </c>
      <c r="L43" s="234"/>
      <c r="M43" s="234"/>
      <c r="N43" s="235">
        <v>0.45791184139155844</v>
      </c>
      <c r="O43" s="234">
        <v>430252.45635520399</v>
      </c>
      <c r="P43" s="235">
        <v>0.4595825554622493</v>
      </c>
      <c r="Q43" s="235">
        <v>0.18277465695918402</v>
      </c>
      <c r="R43" s="235">
        <v>0.55578337978930015</v>
      </c>
      <c r="S43" s="234">
        <v>153702.09468886897</v>
      </c>
      <c r="T43" s="244"/>
      <c r="AE43" s="1" t="s">
        <v>181</v>
      </c>
    </row>
    <row r="44" spans="2:31" s="4" customFormat="1" hidden="1" x14ac:dyDescent="0.25">
      <c r="B44" s="236" t="s">
        <v>108</v>
      </c>
      <c r="C44" s="237"/>
      <c r="D44" s="237"/>
      <c r="E44" s="237"/>
      <c r="F44" s="237"/>
      <c r="G44" s="237"/>
      <c r="H44" s="237"/>
      <c r="I44" s="237"/>
      <c r="J44" s="237"/>
      <c r="K44" s="237">
        <v>327387.63833385095</v>
      </c>
      <c r="L44" s="237"/>
      <c r="M44" s="237"/>
      <c r="N44" s="240">
        <v>0.54208815860874948</v>
      </c>
      <c r="O44" s="237">
        <v>505927.5436448183</v>
      </c>
      <c r="P44" s="240">
        <v>0.54041637636826456</v>
      </c>
      <c r="Q44" s="240">
        <v>0.21492203442423372</v>
      </c>
      <c r="R44" s="238">
        <v>0.54534711884540576</v>
      </c>
      <c r="S44" s="239">
        <v>178539.90531096736</v>
      </c>
      <c r="T44" s="246"/>
      <c r="AE44" s="1" t="s">
        <v>182</v>
      </c>
    </row>
    <row r="45" spans="2:31" s="4" customFormat="1" hidden="1" x14ac:dyDescent="0.25">
      <c r="B45" s="241" t="s">
        <v>183</v>
      </c>
      <c r="C45" s="29"/>
      <c r="D45" s="29"/>
      <c r="E45" s="29"/>
      <c r="F45" s="29"/>
      <c r="G45" s="29"/>
      <c r="H45" s="29"/>
      <c r="I45" s="29"/>
      <c r="J45" s="29"/>
      <c r="K45" s="29">
        <v>242109.12821622068</v>
      </c>
      <c r="L45" s="29"/>
      <c r="M45" s="29"/>
      <c r="N45" s="31">
        <v>0.4008840778626625</v>
      </c>
      <c r="O45" s="29">
        <v>391384.01224089495</v>
      </c>
      <c r="P45" s="31">
        <v>0.41806446855992052</v>
      </c>
      <c r="Q45" s="31">
        <v>0.16626303352834634</v>
      </c>
      <c r="R45" s="22">
        <v>0.61656033014732592</v>
      </c>
      <c r="S45" s="20">
        <v>149274.88402467428</v>
      </c>
      <c r="T45" s="20"/>
      <c r="AE45" s="1" t="s">
        <v>184</v>
      </c>
    </row>
    <row r="46" spans="2:31" s="4" customFormat="1" hidden="1" x14ac:dyDescent="0.25">
      <c r="B46" s="241" t="s">
        <v>185</v>
      </c>
      <c r="C46" s="29"/>
      <c r="D46" s="29"/>
      <c r="E46" s="29"/>
      <c r="F46" s="29"/>
      <c r="G46" s="29"/>
      <c r="H46" s="29"/>
      <c r="I46" s="29"/>
      <c r="J46" s="29"/>
      <c r="K46" s="29">
        <v>85278.510117630256</v>
      </c>
      <c r="L46" s="29"/>
      <c r="M46" s="29"/>
      <c r="N46" s="31">
        <v>0.14120408074608695</v>
      </c>
      <c r="O46" s="29">
        <v>114543.53140392336</v>
      </c>
      <c r="P46" s="31">
        <v>0.12235190780834407</v>
      </c>
      <c r="Q46" s="31">
        <v>4.8659000895887379E-2</v>
      </c>
      <c r="R46" s="22">
        <v>0.34316994100771625</v>
      </c>
      <c r="S46" s="20">
        <v>29265.021286293108</v>
      </c>
      <c r="T46" s="20"/>
      <c r="AE46" s="1" t="s">
        <v>186</v>
      </c>
    </row>
    <row r="47" spans="2:31" s="4" customFormat="1" ht="7.5" hidden="1" customHeight="1" x14ac:dyDescent="0.25">
      <c r="B47" s="242"/>
      <c r="C47" s="242"/>
      <c r="D47" s="242"/>
      <c r="E47" s="242"/>
      <c r="F47" s="242"/>
      <c r="G47" s="242"/>
      <c r="H47" s="242"/>
      <c r="I47" s="242"/>
      <c r="J47" s="242"/>
      <c r="K47" s="242"/>
      <c r="L47" s="242"/>
      <c r="M47" s="242"/>
      <c r="N47" s="242"/>
      <c r="O47" s="242"/>
      <c r="P47" s="242"/>
      <c r="Q47" s="242"/>
      <c r="R47" s="242"/>
      <c r="S47" s="242"/>
      <c r="AE47" s="1" t="s">
        <v>187</v>
      </c>
    </row>
    <row r="48" spans="2:31" s="4" customFormat="1" hidden="1" x14ac:dyDescent="0.25">
      <c r="B48" s="291" t="s">
        <v>188</v>
      </c>
      <c r="C48" s="291"/>
      <c r="D48" s="291"/>
      <c r="E48" s="291"/>
      <c r="F48" s="291"/>
      <c r="G48" s="291"/>
      <c r="H48" s="291"/>
      <c r="I48" s="291"/>
      <c r="J48" s="291"/>
      <c r="K48" s="291"/>
      <c r="L48" s="291"/>
      <c r="M48" s="291"/>
      <c r="N48" s="291"/>
      <c r="O48" s="291"/>
      <c r="P48" s="291"/>
      <c r="Q48" s="291"/>
      <c r="R48" s="291"/>
      <c r="S48" s="291"/>
      <c r="T48" s="49"/>
      <c r="AE48" s="1" t="s">
        <v>189</v>
      </c>
    </row>
    <row r="49" spans="3:31" s="4" customFormat="1" hidden="1" x14ac:dyDescent="0.25">
      <c r="AE49" s="1"/>
    </row>
    <row r="50" spans="3:31" hidden="1" x14ac:dyDescent="0.25">
      <c r="C50" s="125"/>
      <c r="D50" s="125"/>
      <c r="E50" s="125"/>
      <c r="F50" s="125"/>
      <c r="G50" s="125"/>
      <c r="H50" s="125"/>
      <c r="I50" s="125"/>
      <c r="J50" s="125"/>
      <c r="K50" s="125">
        <v>0.54208815860874948</v>
      </c>
      <c r="L50" s="125"/>
      <c r="M50" s="125"/>
    </row>
    <row r="51" spans="3:31" hidden="1" x14ac:dyDescent="0.25"/>
    <row r="52" spans="3:31" hidden="1" x14ac:dyDescent="0.25"/>
    <row r="53" spans="3:31" hidden="1" x14ac:dyDescent="0.25"/>
    <row r="54" spans="3:31" hidden="1" x14ac:dyDescent="0.25"/>
    <row r="55" spans="3:31" hidden="1" x14ac:dyDescent="0.25"/>
    <row r="56" spans="3:31" hidden="1" x14ac:dyDescent="0.25"/>
    <row r="57" spans="3:31" hidden="1" x14ac:dyDescent="0.25"/>
    <row r="58" spans="3:31" hidden="1" x14ac:dyDescent="0.25"/>
    <row r="59" spans="3:31" hidden="1" x14ac:dyDescent="0.25"/>
    <row r="60" spans="3:31" hidden="1" x14ac:dyDescent="0.25"/>
    <row r="61" spans="3:31" hidden="1" x14ac:dyDescent="0.25"/>
    <row r="62" spans="3:31" hidden="1" x14ac:dyDescent="0.25"/>
    <row r="63" spans="3:31" hidden="1" x14ac:dyDescent="0.25"/>
    <row r="64" spans="3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31" spans="1:31" s="4" customFormat="1" ht="25.5" customHeight="1" thickBot="1" x14ac:dyDescent="0.3">
      <c r="B131" s="66" t="s">
        <v>207</v>
      </c>
      <c r="C131" s="66"/>
      <c r="D131" s="66"/>
      <c r="E131" s="66"/>
      <c r="F131" s="66"/>
      <c r="G131" s="66"/>
      <c r="H131" s="66"/>
      <c r="I131" s="66"/>
      <c r="J131" s="66"/>
      <c r="K131" s="66"/>
      <c r="L131" s="66"/>
      <c r="M131" s="66"/>
      <c r="N131" s="66"/>
      <c r="O131" s="66"/>
      <c r="Z131" s="1"/>
    </row>
    <row r="132" spans="1:31" s="4" customFormat="1" ht="6" customHeight="1" x14ac:dyDescent="0.25">
      <c r="Z132" s="1"/>
    </row>
    <row r="133" spans="1:31" s="4" customFormat="1" ht="45" x14ac:dyDescent="0.25">
      <c r="C133" s="185">
        <v>2021</v>
      </c>
      <c r="D133" s="185">
        <v>2022</v>
      </c>
      <c r="E133" s="185">
        <v>2023</v>
      </c>
      <c r="F133" s="185">
        <v>2024</v>
      </c>
      <c r="G133" s="173" t="str">
        <f>CONCATENATE("var. ",RIGHT(F133,2),"/",RIGHT(E133,2))</f>
        <v>var. 24/23</v>
      </c>
      <c r="H133" s="173" t="str">
        <f>CONCATENATE("dif. ",RIGHT(F133,2),"/",RIGHT(E133,2))</f>
        <v>dif. 24/23</v>
      </c>
      <c r="I133" s="248" t="str">
        <f>CONCATENATE("%/s total Tenerife ",RIGHT(F133,4))</f>
        <v>%/s total Tenerife 2024</v>
      </c>
      <c r="J133" s="185">
        <v>2025</v>
      </c>
      <c r="K133" s="248" t="str">
        <f>CONCATENATE("%/s total Tenerife ",RIGHT(J133,4))</f>
        <v>%/s total Tenerife 2025</v>
      </c>
      <c r="L133" s="173" t="str">
        <f>CONCATENATE("var. ",RIGHT(J133,2),"/",RIGHT(F133,2))</f>
        <v>var. 25/24</v>
      </c>
      <c r="M133" s="173" t="str">
        <f>CONCATENATE("dif. ",RIGHT(J133,2),"/",RIGHT(F133,2))</f>
        <v>dif. 25/24</v>
      </c>
      <c r="N133" s="173" t="str">
        <f>CONCATENATE("var. ",RIGHT(J133,2),"/",RIGHT(D133,2))</f>
        <v>var. 25/22</v>
      </c>
      <c r="O133" s="173" t="str">
        <f>CONCATENATE("dif. ",RIGHT(J133,2),"/",RIGHT(D133,2))</f>
        <v>dif. 25/22</v>
      </c>
      <c r="Z133" s="1"/>
    </row>
    <row r="134" spans="1:31" ht="18.75" x14ac:dyDescent="0.3">
      <c r="A134" s="4"/>
      <c r="B134" s="230" t="s">
        <v>205</v>
      </c>
      <c r="C134" s="234">
        <v>53247</v>
      </c>
      <c r="D134" s="234">
        <v>69865</v>
      </c>
      <c r="E134" s="234">
        <v>67025</v>
      </c>
      <c r="F134" s="234">
        <v>75188</v>
      </c>
      <c r="G134" s="235">
        <f>F134/E134-1</f>
        <v>0.12179037672510251</v>
      </c>
      <c r="H134" s="234">
        <f>F134-E134</f>
        <v>8163</v>
      </c>
      <c r="I134" s="235">
        <f>F134/F$134</f>
        <v>1</v>
      </c>
      <c r="J134" s="234">
        <v>93462</v>
      </c>
      <c r="K134" s="235">
        <f>J134/J$134</f>
        <v>1</v>
      </c>
      <c r="L134" s="235">
        <f>J134/F134-1</f>
        <v>0.24304410278235888</v>
      </c>
      <c r="M134" s="234">
        <f>J134-F134</f>
        <v>18274</v>
      </c>
      <c r="N134" s="235">
        <f>J134/D134-1</f>
        <v>0.33775137765690966</v>
      </c>
      <c r="O134" s="234">
        <f>J134-D134</f>
        <v>23597</v>
      </c>
      <c r="Q134" s="29"/>
      <c r="R134" s="81"/>
      <c r="Z134" s="1" t="s">
        <v>180</v>
      </c>
      <c r="AE134"/>
    </row>
    <row r="135" spans="1:31" s="4" customFormat="1" x14ac:dyDescent="0.25">
      <c r="A135" s="1"/>
      <c r="B135" s="251" t="s">
        <v>197</v>
      </c>
      <c r="C135" s="252">
        <v>53247</v>
      </c>
      <c r="D135" s="252">
        <v>69865</v>
      </c>
      <c r="E135" s="252">
        <v>67025</v>
      </c>
      <c r="F135" s="252">
        <v>75188</v>
      </c>
      <c r="G135" s="256">
        <f>IFERROR(F135/E135-1,"-")</f>
        <v>0.12179037672510251</v>
      </c>
      <c r="H135" s="252">
        <f t="shared" ref="H135:H138" si="14">F135-E135</f>
        <v>8163</v>
      </c>
      <c r="I135" s="254">
        <f>F135/F$134</f>
        <v>1</v>
      </c>
      <c r="J135" s="252">
        <v>93462</v>
      </c>
      <c r="K135" s="253">
        <f t="shared" ref="K135:K138" si="15">J135/J$134</f>
        <v>1</v>
      </c>
      <c r="L135" s="254">
        <f t="shared" ref="L135:L138" si="16">J135/F135-1</f>
        <v>0.24304410278235888</v>
      </c>
      <c r="M135" s="255">
        <f t="shared" ref="M135:M138" si="17">J135-F135</f>
        <v>18274</v>
      </c>
      <c r="N135" s="253">
        <f t="shared" ref="N135:N138" si="18">J135/D135-1</f>
        <v>0.33775137765690966</v>
      </c>
      <c r="O135" s="252">
        <f t="shared" ref="O135:O138" si="19">J135-D135</f>
        <v>23597</v>
      </c>
      <c r="Q135" s="29"/>
      <c r="R135" s="81"/>
      <c r="Z135" s="1" t="s">
        <v>182</v>
      </c>
    </row>
    <row r="136" spans="1:31" s="4" customFormat="1" x14ac:dyDescent="0.25">
      <c r="A136" s="108" t="s">
        <v>177</v>
      </c>
      <c r="B136" s="4" t="s">
        <v>70</v>
      </c>
      <c r="C136" s="258">
        <v>15693</v>
      </c>
      <c r="D136" s="258">
        <v>29334</v>
      </c>
      <c r="E136" s="258">
        <v>30291</v>
      </c>
      <c r="F136" s="258">
        <v>37901</v>
      </c>
      <c r="G136" s="262">
        <f t="shared" ref="G136:G138" si="20">IFERROR(F136/E136-1,"-")</f>
        <v>0.25122973820606775</v>
      </c>
      <c r="H136" s="258">
        <f t="shared" si="14"/>
        <v>7610</v>
      </c>
      <c r="I136" s="266">
        <f t="shared" ref="I136:I138" si="21">F136/F$134</f>
        <v>0.50408309836676068</v>
      </c>
      <c r="J136" s="258">
        <v>37417</v>
      </c>
      <c r="K136" s="264">
        <f t="shared" si="15"/>
        <v>0.40034452504761292</v>
      </c>
      <c r="L136" s="266">
        <f t="shared" si="16"/>
        <v>-1.2770111606553947E-2</v>
      </c>
      <c r="M136" s="265">
        <f t="shared" si="17"/>
        <v>-484</v>
      </c>
      <c r="N136" s="264">
        <f t="shared" si="18"/>
        <v>0.27555055566918929</v>
      </c>
      <c r="O136" s="258">
        <f t="shared" si="19"/>
        <v>8083</v>
      </c>
      <c r="Q136" s="29"/>
      <c r="R136" s="81"/>
      <c r="Z136" s="1"/>
    </row>
    <row r="137" spans="1:31" s="4" customFormat="1" x14ac:dyDescent="0.25">
      <c r="A137" s="108" t="s">
        <v>68</v>
      </c>
      <c r="B137" s="4" t="s">
        <v>63</v>
      </c>
      <c r="C137" s="258">
        <v>37554</v>
      </c>
      <c r="D137" s="258">
        <v>40531</v>
      </c>
      <c r="E137" s="258">
        <v>36734</v>
      </c>
      <c r="F137" s="258">
        <v>37287</v>
      </c>
      <c r="G137" s="260">
        <f t="shared" si="20"/>
        <v>1.505417324549474E-2</v>
      </c>
      <c r="H137" s="258">
        <f t="shared" si="14"/>
        <v>553</v>
      </c>
      <c r="I137" s="270">
        <f t="shared" si="21"/>
        <v>0.49591690163323937</v>
      </c>
      <c r="J137" s="258">
        <v>56045</v>
      </c>
      <c r="K137" s="264">
        <f t="shared" si="15"/>
        <v>0.59965547495238702</v>
      </c>
      <c r="L137" s="266">
        <f t="shared" si="16"/>
        <v>0.50307077533724898</v>
      </c>
      <c r="M137" s="265">
        <f t="shared" si="17"/>
        <v>18758</v>
      </c>
      <c r="N137" s="264">
        <f t="shared" si="18"/>
        <v>0.38276874491130242</v>
      </c>
      <c r="O137" s="258">
        <f t="shared" si="19"/>
        <v>15514</v>
      </c>
      <c r="Q137" s="29"/>
      <c r="R137" s="81"/>
      <c r="Z137" s="1"/>
    </row>
    <row r="138" spans="1:31" s="4" customFormat="1" x14ac:dyDescent="0.25">
      <c r="B138" s="251" t="s">
        <v>198</v>
      </c>
      <c r="C138" s="252" t="e">
        <v>#REF!</v>
      </c>
      <c r="D138" s="252" t="e">
        <v>#REF!</v>
      </c>
      <c r="E138" s="252" t="e">
        <v>#REF!</v>
      </c>
      <c r="F138" s="252" t="e">
        <v>#REF!</v>
      </c>
      <c r="G138" s="256" t="str">
        <f t="shared" si="20"/>
        <v>-</v>
      </c>
      <c r="H138" s="252" t="e">
        <f t="shared" si="14"/>
        <v>#REF!</v>
      </c>
      <c r="I138" s="254" t="e">
        <f t="shared" si="21"/>
        <v>#REF!</v>
      </c>
      <c r="J138" s="252" t="e">
        <v>#REF!</v>
      </c>
      <c r="K138" s="253" t="e">
        <f t="shared" si="15"/>
        <v>#REF!</v>
      </c>
      <c r="L138" s="254" t="e">
        <f t="shared" si="16"/>
        <v>#REF!</v>
      </c>
      <c r="M138" s="255" t="e">
        <f t="shared" si="17"/>
        <v>#REF!</v>
      </c>
      <c r="N138" s="253" t="e">
        <f t="shared" si="18"/>
        <v>#REF!</v>
      </c>
      <c r="O138" s="252" t="e">
        <f t="shared" si="19"/>
        <v>#REF!</v>
      </c>
      <c r="Q138" s="29"/>
      <c r="R138" s="81"/>
      <c r="Z138" s="1"/>
    </row>
    <row r="139" spans="1:31" s="4" customFormat="1" ht="7.5" customHeight="1" x14ac:dyDescent="0.25">
      <c r="B139" s="242"/>
      <c r="C139" s="242"/>
      <c r="D139" s="242"/>
      <c r="E139" s="242"/>
      <c r="F139" s="242"/>
      <c r="G139" s="242"/>
      <c r="H139" s="242"/>
      <c r="I139" s="242"/>
      <c r="J139" s="242"/>
      <c r="K139" s="242"/>
      <c r="L139" s="242"/>
      <c r="M139" s="242"/>
      <c r="N139" s="242"/>
      <c r="O139" s="242"/>
      <c r="Z139" s="1" t="s">
        <v>187</v>
      </c>
    </row>
    <row r="140" spans="1:31" s="4" customFormat="1" ht="32.25" customHeight="1" x14ac:dyDescent="0.25">
      <c r="B140" s="315" t="s">
        <v>201</v>
      </c>
      <c r="C140" s="315"/>
      <c r="D140" s="315"/>
      <c r="E140" s="315"/>
      <c r="F140" s="315"/>
      <c r="G140" s="315"/>
      <c r="H140" s="315"/>
      <c r="I140" s="315"/>
      <c r="J140" s="315"/>
      <c r="K140" s="315"/>
      <c r="L140" s="315"/>
      <c r="M140" s="315"/>
      <c r="N140" s="315"/>
      <c r="O140" s="315"/>
      <c r="Z140" s="1" t="s">
        <v>189</v>
      </c>
    </row>
    <row r="141" spans="1:31" x14ac:dyDescent="0.25">
      <c r="Z141" s="1"/>
      <c r="AE141"/>
    </row>
    <row r="142" spans="1:31" x14ac:dyDescent="0.25">
      <c r="Z142" s="1"/>
      <c r="AE142"/>
    </row>
  </sheetData>
  <mergeCells count="3">
    <mergeCell ref="B38:S38"/>
    <mergeCell ref="B48:S48"/>
    <mergeCell ref="B140:O140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36E19-DD8D-44F2-B587-BAE4D721818B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208</v>
      </c>
      <c r="G1" s="229"/>
      <c r="H1" s="229"/>
      <c r="I1" s="229"/>
      <c r="K1" s="229"/>
    </row>
    <row r="3" spans="1:31" s="4" customFormat="1" ht="25.5" customHeight="1" thickBot="1" x14ac:dyDescent="0.3">
      <c r="B3" s="66" t="s">
        <v>209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247" t="s">
        <v>270</v>
      </c>
      <c r="D5" s="247" t="s">
        <v>271</v>
      </c>
      <c r="E5" s="247" t="s">
        <v>272</v>
      </c>
      <c r="F5" s="248" t="str">
        <f>CONCATENATE("%/s total Tenerife ",RIGHT(E5,4))</f>
        <v>%/s total Tenerife 2023</v>
      </c>
      <c r="G5" s="247" t="s">
        <v>273</v>
      </c>
      <c r="H5" s="248" t="str">
        <f>CONCATENATE("var. ",RIGHT(G5,2),"/",RIGHT(E5,2))</f>
        <v>var. 24/23</v>
      </c>
      <c r="I5" s="248" t="str">
        <f>CONCATENATE("dif. ",RIGHT(G5,2),"/",RIGHT(E5,2))</f>
        <v>dif. 24/23</v>
      </c>
      <c r="J5" s="248" t="str">
        <f>CONCATENATE("%/s total Tenerife ",RIGHT(G5,4))</f>
        <v>%/s total Tenerife 2024</v>
      </c>
      <c r="K5" s="247" t="s">
        <v>274</v>
      </c>
      <c r="L5" s="248" t="str">
        <f>CONCATENATE("var. ",RIGHT(K5,2),"/",RIGHT(G5,2))</f>
        <v>var. 25/24</v>
      </c>
      <c r="M5" s="248" t="str">
        <f>CONCATENATE("dif. ",RIGHT(K5,2),"/",RIGHT(G5,2))</f>
        <v>dif. 25/24</v>
      </c>
      <c r="N5" s="248" t="str">
        <f>CONCATENATE("%/s total Tenerife ",RIGHT(K5,4))</f>
        <v>%/s total Tenerife 2025</v>
      </c>
      <c r="O5" s="247" t="s">
        <v>275</v>
      </c>
      <c r="P5" s="248" t="str">
        <f>CONCATENATE("var. ",RIGHT(O5,2),"/",RIGHT(K5,2))</f>
        <v>var. 26/25</v>
      </c>
      <c r="Q5" s="248" t="str">
        <f>CONCATENATE("dif. ",RIGHT(O5,2),"/",RIGHT(K5,2))</f>
        <v>dif. 26/25</v>
      </c>
      <c r="R5" s="248" t="str">
        <f>CONCATENATE("var. ",RIGHT(O5,2),"/",RIGHT(C5,2))</f>
        <v>var. 26/21</v>
      </c>
      <c r="S5" s="248" t="str">
        <f>CONCATENATE("dif. ",RIGHT(O5,2),"/",RIGHT(C5,2))</f>
        <v>dif. 26/21</v>
      </c>
      <c r="T5" s="248" t="str">
        <f>CONCATENATE("%/s total Tenerife ",RIGHT(O5,4))</f>
        <v>%/s total Tenerife 2026</v>
      </c>
      <c r="AE5" s="1"/>
    </row>
    <row r="6" spans="1:31" ht="18.75" x14ac:dyDescent="0.3">
      <c r="A6" s="4"/>
      <c r="B6" s="230" t="s">
        <v>210</v>
      </c>
      <c r="C6" s="249">
        <v>384545</v>
      </c>
      <c r="D6" s="249">
        <v>582661</v>
      </c>
      <c r="E6" s="249">
        <v>612082</v>
      </c>
      <c r="F6" s="250">
        <f>E6/$E$6</f>
        <v>1</v>
      </c>
      <c r="G6" s="249">
        <v>603347</v>
      </c>
      <c r="H6" s="250">
        <f>G6/E6-1</f>
        <v>-1.4270963694406946E-2</v>
      </c>
      <c r="I6" s="249">
        <f>G6-E6</f>
        <v>-8735</v>
      </c>
      <c r="J6" s="250">
        <f>G6/$G$6</f>
        <v>1</v>
      </c>
      <c r="K6" s="249">
        <v>607670</v>
      </c>
      <c r="L6" s="250">
        <f>K6/G6-1</f>
        <v>7.1650310683570861E-3</v>
      </c>
      <c r="M6" s="249">
        <f>K6-G6</f>
        <v>4323</v>
      </c>
      <c r="N6" s="250">
        <f>K6/$K$6</f>
        <v>1</v>
      </c>
      <c r="O6" s="249">
        <v>633401</v>
      </c>
      <c r="P6" s="250">
        <f>O6/K6-1</f>
        <v>4.2343706287952365E-2</v>
      </c>
      <c r="Q6" s="249">
        <f>O6-K6</f>
        <v>25731</v>
      </c>
      <c r="R6" s="250">
        <f>IFERROR(O6/C6-1,"-")</f>
        <v>0.64714402735700638</v>
      </c>
      <c r="S6" s="249">
        <f>O6-C6</f>
        <v>248856</v>
      </c>
      <c r="T6" s="250">
        <f>O6/$O$6</f>
        <v>1</v>
      </c>
      <c r="V6" s="29"/>
      <c r="W6" s="81"/>
      <c r="AE6" s="1" t="s">
        <v>180</v>
      </c>
    </row>
    <row r="7" spans="1:31" s="4" customFormat="1" x14ac:dyDescent="0.25">
      <c r="B7" s="241" t="s">
        <v>46</v>
      </c>
      <c r="C7" s="258">
        <v>137416</v>
      </c>
      <c r="D7" s="258">
        <v>118869</v>
      </c>
      <c r="E7" s="258">
        <v>104061</v>
      </c>
      <c r="F7" s="264">
        <f t="shared" ref="F7:F16" si="0">E7/$E$6</f>
        <v>0.17001153440225331</v>
      </c>
      <c r="G7" s="258">
        <v>88871</v>
      </c>
      <c r="H7" s="266">
        <f>G7/E7-1</f>
        <v>-0.14597207407193857</v>
      </c>
      <c r="I7" s="265">
        <f>G7-E7</f>
        <v>-15190</v>
      </c>
      <c r="J7" s="264">
        <f>G7/$G$6</f>
        <v>0.14729666344574516</v>
      </c>
      <c r="K7" s="258">
        <v>80164</v>
      </c>
      <c r="L7" s="266">
        <f>K7/G7-1</f>
        <v>-9.7973467160266003E-2</v>
      </c>
      <c r="M7" s="265">
        <f>K7-G7</f>
        <v>-8707</v>
      </c>
      <c r="N7" s="264">
        <f>K7/$K$6</f>
        <v>0.13192028568137312</v>
      </c>
      <c r="O7" s="258">
        <v>85765</v>
      </c>
      <c r="P7" s="266">
        <f>O7/K7-1</f>
        <v>6.9869268000598783E-2</v>
      </c>
      <c r="Q7" s="265">
        <f>O7-K7</f>
        <v>5601</v>
      </c>
      <c r="R7" s="266">
        <f t="shared" ref="R7:R16" si="1">IFERROR(O7/C7-1,"-")</f>
        <v>-0.37587326075566163</v>
      </c>
      <c r="S7" s="265">
        <f t="shared" ref="S7:S16" si="2">O7-C7</f>
        <v>-51651</v>
      </c>
      <c r="T7" s="264">
        <f>O7/$O$6</f>
        <v>0.13540395420910292</v>
      </c>
      <c r="V7" s="29"/>
      <c r="W7" s="81"/>
      <c r="AE7" s="1" t="s">
        <v>182</v>
      </c>
    </row>
    <row r="8" spans="1:31" s="4" customFormat="1" x14ac:dyDescent="0.25">
      <c r="B8" s="241" t="s">
        <v>47</v>
      </c>
      <c r="C8" s="258">
        <v>41134</v>
      </c>
      <c r="D8" s="258">
        <v>69906</v>
      </c>
      <c r="E8" s="258">
        <v>64223</v>
      </c>
      <c r="F8" s="264">
        <f t="shared" si="0"/>
        <v>0.10492548384040047</v>
      </c>
      <c r="G8" s="258">
        <v>61123</v>
      </c>
      <c r="H8" s="266">
        <f t="shared" ref="H8:H16" si="3">G8/E8-1</f>
        <v>-4.8269311617333388E-2</v>
      </c>
      <c r="I8" s="265">
        <f t="shared" ref="I8:I16" si="4">G8-E8</f>
        <v>-3100</v>
      </c>
      <c r="J8" s="264">
        <f t="shared" ref="J8:J16" si="5">G8/$G$6</f>
        <v>0.10130654498986487</v>
      </c>
      <c r="K8" s="258">
        <v>63405</v>
      </c>
      <c r="L8" s="266">
        <f t="shared" ref="L8:L16" si="6">K8/G8-1</f>
        <v>3.7334554913862172E-2</v>
      </c>
      <c r="M8" s="265">
        <f t="shared" ref="M8:M16" si="7">K8-G8</f>
        <v>2282</v>
      </c>
      <c r="N8" s="264">
        <f t="shared" ref="N8:N16" si="8">K8/$K$6</f>
        <v>0.10434117201770698</v>
      </c>
      <c r="O8" s="258">
        <v>77740</v>
      </c>
      <c r="P8" s="266">
        <f t="shared" ref="P8:P16" si="9">O8/K8-1</f>
        <v>0.22608627079883292</v>
      </c>
      <c r="Q8" s="265">
        <f t="shared" ref="Q8:Q16" si="10">O8-K8</f>
        <v>14335</v>
      </c>
      <c r="R8" s="266">
        <f t="shared" si="1"/>
        <v>0.88992074682744193</v>
      </c>
      <c r="S8" s="265">
        <f t="shared" si="2"/>
        <v>36606</v>
      </c>
      <c r="T8" s="264">
        <f t="shared" ref="T8:T16" si="11">O8/$O$6</f>
        <v>0.12273425523483543</v>
      </c>
      <c r="V8" s="29"/>
      <c r="W8" s="81"/>
      <c r="AE8" s="1"/>
    </row>
    <row r="9" spans="1:31" s="4" customFormat="1" x14ac:dyDescent="0.25">
      <c r="B9" s="241" t="s">
        <v>48</v>
      </c>
      <c r="C9" s="258">
        <v>2321</v>
      </c>
      <c r="D9" s="258">
        <v>2543</v>
      </c>
      <c r="E9" s="258">
        <v>13442</v>
      </c>
      <c r="F9" s="259">
        <f t="shared" si="0"/>
        <v>2.1961109785943712E-2</v>
      </c>
      <c r="G9" s="258">
        <v>8146</v>
      </c>
      <c r="H9" s="270">
        <f t="shared" si="3"/>
        <v>-0.39398898973367058</v>
      </c>
      <c r="I9" s="261">
        <f t="shared" si="4"/>
        <v>-5296</v>
      </c>
      <c r="J9" s="259">
        <f t="shared" si="5"/>
        <v>1.3501351626841601E-2</v>
      </c>
      <c r="K9" s="258">
        <v>4833</v>
      </c>
      <c r="L9" s="266">
        <f t="shared" si="6"/>
        <v>-0.4067026761600786</v>
      </c>
      <c r="M9" s="265">
        <f t="shared" si="7"/>
        <v>-3313</v>
      </c>
      <c r="N9" s="264">
        <f t="shared" si="8"/>
        <v>7.953329932364606E-3</v>
      </c>
      <c r="O9" s="258">
        <v>10017</v>
      </c>
      <c r="P9" s="266">
        <f t="shared" si="9"/>
        <v>1.0726256983240225</v>
      </c>
      <c r="Q9" s="265">
        <f t="shared" si="10"/>
        <v>5184</v>
      </c>
      <c r="R9" s="266">
        <f t="shared" si="1"/>
        <v>3.3158121499353728</v>
      </c>
      <c r="S9" s="265">
        <f t="shared" si="2"/>
        <v>7696</v>
      </c>
      <c r="T9" s="264">
        <f t="shared" si="11"/>
        <v>1.581462612152491E-2</v>
      </c>
      <c r="V9" s="29"/>
      <c r="W9" s="81"/>
      <c r="AE9" s="1"/>
    </row>
    <row r="10" spans="1:31" s="4" customFormat="1" x14ac:dyDescent="0.25">
      <c r="B10" s="241" t="s">
        <v>50</v>
      </c>
      <c r="C10" s="258">
        <v>66876</v>
      </c>
      <c r="D10" s="258">
        <v>197068</v>
      </c>
      <c r="E10" s="258">
        <v>207135</v>
      </c>
      <c r="F10" s="264">
        <f t="shared" si="0"/>
        <v>0.33841053976427993</v>
      </c>
      <c r="G10" s="258">
        <v>223795</v>
      </c>
      <c r="H10" s="266">
        <f t="shared" si="3"/>
        <v>8.0430637024162976E-2</v>
      </c>
      <c r="I10" s="265">
        <f t="shared" si="4"/>
        <v>16660</v>
      </c>
      <c r="J10" s="264">
        <f t="shared" si="5"/>
        <v>0.37092253711380019</v>
      </c>
      <c r="K10" s="258">
        <v>231639</v>
      </c>
      <c r="L10" s="266">
        <f t="shared" si="6"/>
        <v>3.5049934091467616E-2</v>
      </c>
      <c r="M10" s="265">
        <f t="shared" si="7"/>
        <v>7844</v>
      </c>
      <c r="N10" s="264">
        <f t="shared" si="8"/>
        <v>0.38119209439333851</v>
      </c>
      <c r="O10" s="258">
        <v>237110</v>
      </c>
      <c r="P10" s="266">
        <f t="shared" si="9"/>
        <v>2.3618647982420971E-2</v>
      </c>
      <c r="Q10" s="265">
        <f t="shared" si="10"/>
        <v>5471</v>
      </c>
      <c r="R10" s="266">
        <f t="shared" si="1"/>
        <v>2.5455170763801664</v>
      </c>
      <c r="S10" s="265">
        <f t="shared" si="2"/>
        <v>170234</v>
      </c>
      <c r="T10" s="264">
        <f>O10/$O$6</f>
        <v>0.37434421480231322</v>
      </c>
      <c r="V10" s="29"/>
      <c r="W10" s="81"/>
      <c r="AE10" s="1"/>
    </row>
    <row r="11" spans="1:31" s="4" customFormat="1" x14ac:dyDescent="0.25">
      <c r="B11" s="241" t="s">
        <v>52</v>
      </c>
      <c r="C11" s="258">
        <v>25544</v>
      </c>
      <c r="D11" s="258">
        <v>24458</v>
      </c>
      <c r="E11" s="258">
        <v>31500</v>
      </c>
      <c r="F11" s="259">
        <f t="shared" si="0"/>
        <v>5.1463692773190517E-2</v>
      </c>
      <c r="G11" s="258">
        <v>28196</v>
      </c>
      <c r="H11" s="270">
        <f t="shared" si="3"/>
        <v>-0.10488888888888892</v>
      </c>
      <c r="I11" s="261">
        <f t="shared" si="4"/>
        <v>-3304</v>
      </c>
      <c r="J11" s="259">
        <f t="shared" si="5"/>
        <v>4.6732643072725975E-2</v>
      </c>
      <c r="K11" s="258">
        <v>31750</v>
      </c>
      <c r="L11" s="266">
        <f t="shared" si="6"/>
        <v>0.1260462476947084</v>
      </c>
      <c r="M11" s="265">
        <f t="shared" si="7"/>
        <v>3554</v>
      </c>
      <c r="N11" s="264">
        <f t="shared" si="8"/>
        <v>5.2248753435252683E-2</v>
      </c>
      <c r="O11" s="258">
        <v>25425</v>
      </c>
      <c r="P11" s="266">
        <f t="shared" si="9"/>
        <v>-0.1992125984251969</v>
      </c>
      <c r="Q11" s="265">
        <f t="shared" si="10"/>
        <v>-6325</v>
      </c>
      <c r="R11" s="266">
        <f t="shared" si="1"/>
        <v>-4.6586282492953046E-3</v>
      </c>
      <c r="S11" s="265">
        <f t="shared" si="2"/>
        <v>-119</v>
      </c>
      <c r="T11" s="264">
        <f t="shared" si="11"/>
        <v>4.0140448152118487E-2</v>
      </c>
      <c r="V11" s="29"/>
      <c r="W11" s="81"/>
      <c r="AE11" s="1"/>
    </row>
    <row r="12" spans="1:31" s="4" customFormat="1" x14ac:dyDescent="0.25">
      <c r="B12" s="241" t="s">
        <v>53</v>
      </c>
      <c r="C12" s="258">
        <v>48582</v>
      </c>
      <c r="D12" s="258">
        <v>75501</v>
      </c>
      <c r="E12" s="258">
        <v>88976</v>
      </c>
      <c r="F12" s="264">
        <f t="shared" si="0"/>
        <v>0.14536614375198095</v>
      </c>
      <c r="G12" s="258">
        <v>91656</v>
      </c>
      <c r="H12" s="266">
        <f t="shared" si="3"/>
        <v>3.0120481927710774E-2</v>
      </c>
      <c r="I12" s="265">
        <f t="shared" si="4"/>
        <v>2680</v>
      </c>
      <c r="J12" s="264">
        <f t="shared" si="5"/>
        <v>0.15191258098573457</v>
      </c>
      <c r="K12" s="258">
        <v>105634</v>
      </c>
      <c r="L12" s="266">
        <f t="shared" si="6"/>
        <v>0.15250501876582012</v>
      </c>
      <c r="M12" s="265">
        <f t="shared" si="7"/>
        <v>13978</v>
      </c>
      <c r="N12" s="264">
        <f t="shared" si="8"/>
        <v>0.17383448253163725</v>
      </c>
      <c r="O12" s="258">
        <v>105943</v>
      </c>
      <c r="P12" s="266">
        <f t="shared" si="9"/>
        <v>2.9251945396369106E-3</v>
      </c>
      <c r="Q12" s="265">
        <f t="shared" si="10"/>
        <v>309</v>
      </c>
      <c r="R12" s="266">
        <f t="shared" si="1"/>
        <v>1.1807047877814827</v>
      </c>
      <c r="S12" s="265">
        <f t="shared" si="2"/>
        <v>57361</v>
      </c>
      <c r="T12" s="264">
        <f t="shared" si="11"/>
        <v>0.16726055058327979</v>
      </c>
      <c r="V12" s="29"/>
      <c r="W12" s="81"/>
      <c r="AE12" s="1"/>
    </row>
    <row r="13" spans="1:31" s="4" customFormat="1" x14ac:dyDescent="0.25">
      <c r="B13" s="241" t="s">
        <v>51</v>
      </c>
      <c r="C13" s="258">
        <v>9042</v>
      </c>
      <c r="D13" s="258">
        <v>18683</v>
      </c>
      <c r="E13" s="258">
        <v>23106</v>
      </c>
      <c r="F13" s="259">
        <f t="shared" si="0"/>
        <v>3.7749843975153657E-2</v>
      </c>
      <c r="G13" s="258">
        <v>20343</v>
      </c>
      <c r="H13" s="270">
        <f t="shared" si="3"/>
        <v>-0.11957933004414434</v>
      </c>
      <c r="I13" s="261">
        <f t="shared" si="4"/>
        <v>-2763</v>
      </c>
      <c r="J13" s="259">
        <f t="shared" si="5"/>
        <v>3.3716915804669616E-2</v>
      </c>
      <c r="K13" s="258">
        <v>19090</v>
      </c>
      <c r="L13" s="266">
        <f t="shared" si="6"/>
        <v>-6.1593668583788008E-2</v>
      </c>
      <c r="M13" s="265">
        <f t="shared" si="7"/>
        <v>-1253</v>
      </c>
      <c r="N13" s="264">
        <f t="shared" si="8"/>
        <v>3.141507726232988E-2</v>
      </c>
      <c r="O13" s="258">
        <v>19531</v>
      </c>
      <c r="P13" s="266">
        <f t="shared" si="9"/>
        <v>2.3101100052383527E-2</v>
      </c>
      <c r="Q13" s="265">
        <f t="shared" si="10"/>
        <v>441</v>
      </c>
      <c r="R13" s="266">
        <f t="shared" si="1"/>
        <v>1.1600309666003095</v>
      </c>
      <c r="S13" s="265">
        <f t="shared" si="2"/>
        <v>10489</v>
      </c>
      <c r="T13" s="264">
        <f t="shared" si="11"/>
        <v>3.0835126562793556E-2</v>
      </c>
      <c r="V13" s="29"/>
      <c r="W13" s="81"/>
      <c r="AE13" s="1"/>
    </row>
    <row r="14" spans="1:31" s="4" customFormat="1" x14ac:dyDescent="0.25">
      <c r="B14" s="241" t="s">
        <v>54</v>
      </c>
      <c r="C14" s="258">
        <v>23814</v>
      </c>
      <c r="D14" s="258">
        <v>15534</v>
      </c>
      <c r="E14" s="258">
        <v>20487</v>
      </c>
      <c r="F14" s="264">
        <f t="shared" si="0"/>
        <v>3.3471005518868384E-2</v>
      </c>
      <c r="G14" s="258">
        <v>15171</v>
      </c>
      <c r="H14" s="266">
        <f t="shared" si="3"/>
        <v>-0.25948162249231221</v>
      </c>
      <c r="I14" s="265">
        <f t="shared" si="4"/>
        <v>-5316</v>
      </c>
      <c r="J14" s="264">
        <f t="shared" si="5"/>
        <v>2.5144734290549219E-2</v>
      </c>
      <c r="K14" s="258">
        <v>15669</v>
      </c>
      <c r="L14" s="266">
        <f t="shared" si="6"/>
        <v>3.2825786039153648E-2</v>
      </c>
      <c r="M14" s="265">
        <f t="shared" si="7"/>
        <v>498</v>
      </c>
      <c r="N14" s="264">
        <f t="shared" si="8"/>
        <v>2.5785376931558246E-2</v>
      </c>
      <c r="O14" s="258">
        <v>23186</v>
      </c>
      <c r="P14" s="266">
        <f t="shared" si="9"/>
        <v>0.47973706043780706</v>
      </c>
      <c r="Q14" s="265">
        <f t="shared" si="10"/>
        <v>7517</v>
      </c>
      <c r="R14" s="266">
        <f t="shared" si="1"/>
        <v>-2.6371042244058063E-2</v>
      </c>
      <c r="S14" s="265">
        <f t="shared" si="2"/>
        <v>-628</v>
      </c>
      <c r="T14" s="264">
        <f t="shared" si="11"/>
        <v>3.6605562668830645E-2</v>
      </c>
      <c r="V14" s="29"/>
      <c r="W14" s="81"/>
      <c r="AE14" s="1"/>
    </row>
    <row r="15" spans="1:31" s="4" customFormat="1" x14ac:dyDescent="0.25">
      <c r="B15" s="241" t="s">
        <v>49</v>
      </c>
      <c r="C15" s="258">
        <v>11048</v>
      </c>
      <c r="D15" s="258">
        <v>27158</v>
      </c>
      <c r="E15" s="258">
        <v>24320</v>
      </c>
      <c r="F15" s="259">
        <f t="shared" si="0"/>
        <v>3.9733238356952173E-2</v>
      </c>
      <c r="G15" s="258">
        <v>32909</v>
      </c>
      <c r="H15" s="270">
        <f t="shared" si="3"/>
        <v>0.35316611842105261</v>
      </c>
      <c r="I15" s="261">
        <f t="shared" si="4"/>
        <v>8589</v>
      </c>
      <c r="J15" s="259">
        <f t="shared" si="5"/>
        <v>5.4544068338783488E-2</v>
      </c>
      <c r="K15" s="258">
        <v>25581</v>
      </c>
      <c r="L15" s="266">
        <f t="shared" si="6"/>
        <v>-0.22267464827250905</v>
      </c>
      <c r="M15" s="265">
        <f t="shared" si="7"/>
        <v>-7328</v>
      </c>
      <c r="N15" s="264">
        <f t="shared" si="8"/>
        <v>4.2096861783533827E-2</v>
      </c>
      <c r="O15" s="258">
        <v>26764</v>
      </c>
      <c r="P15" s="266">
        <f t="shared" si="9"/>
        <v>4.624526015402064E-2</v>
      </c>
      <c r="Q15" s="265">
        <f t="shared" si="10"/>
        <v>1183</v>
      </c>
      <c r="R15" s="266">
        <f t="shared" si="1"/>
        <v>1.4225199131064445</v>
      </c>
      <c r="S15" s="265">
        <f t="shared" si="2"/>
        <v>15716</v>
      </c>
      <c r="T15" s="264">
        <f t="shared" si="11"/>
        <v>4.2254432815862303E-2</v>
      </c>
      <c r="V15" s="29"/>
      <c r="W15" s="81"/>
      <c r="AE15" s="1"/>
    </row>
    <row r="16" spans="1:31" s="4" customFormat="1" x14ac:dyDescent="0.25">
      <c r="B16" s="241" t="s">
        <v>211</v>
      </c>
      <c r="C16" s="258">
        <f>C6-SUM(C7:C15)</f>
        <v>18768</v>
      </c>
      <c r="D16" s="258">
        <f>D6-SUM(D7:D15)</f>
        <v>32941</v>
      </c>
      <c r="E16" s="258">
        <f>E6-SUM(E7:E15)</f>
        <v>34832</v>
      </c>
      <c r="F16" s="264">
        <f t="shared" si="0"/>
        <v>5.6907407830976899E-2</v>
      </c>
      <c r="G16" s="258">
        <f>G6-SUM(G7:G15)</f>
        <v>33137</v>
      </c>
      <c r="H16" s="266">
        <f t="shared" si="3"/>
        <v>-4.8662149747358718E-2</v>
      </c>
      <c r="I16" s="265">
        <f t="shared" si="4"/>
        <v>-1695</v>
      </c>
      <c r="J16" s="264">
        <f t="shared" si="5"/>
        <v>5.4921960331285311E-2</v>
      </c>
      <c r="K16" s="258">
        <f>K6-SUM(K7:K15)</f>
        <v>29905</v>
      </c>
      <c r="L16" s="266">
        <f t="shared" si="6"/>
        <v>-9.7534478075866904E-2</v>
      </c>
      <c r="M16" s="265">
        <f t="shared" si="7"/>
        <v>-3232</v>
      </c>
      <c r="N16" s="264">
        <f t="shared" si="8"/>
        <v>4.9212566030904931E-2</v>
      </c>
      <c r="O16" s="258">
        <f>O6-SUM(O7:O15)</f>
        <v>21920</v>
      </c>
      <c r="P16" s="266">
        <f t="shared" si="9"/>
        <v>-0.26701220531683667</v>
      </c>
      <c r="Q16" s="265">
        <f t="shared" si="10"/>
        <v>-7985</v>
      </c>
      <c r="R16" s="266">
        <f t="shared" si="1"/>
        <v>0.16794543904518333</v>
      </c>
      <c r="S16" s="265">
        <f t="shared" si="2"/>
        <v>3152</v>
      </c>
      <c r="T16" s="264">
        <f t="shared" si="11"/>
        <v>3.460682884933873E-2</v>
      </c>
      <c r="V16" s="29"/>
      <c r="W16" s="81"/>
      <c r="AE16" s="1"/>
    </row>
    <row r="17" spans="2:31" s="4" customFormat="1" ht="7.5" customHeight="1" x14ac:dyDescent="0.25">
      <c r="B17" s="242"/>
      <c r="C17" s="242"/>
      <c r="D17" s="242"/>
      <c r="E17" s="242"/>
      <c r="F17" s="242"/>
      <c r="G17" s="242"/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AE17" s="1" t="s">
        <v>187</v>
      </c>
    </row>
    <row r="18" spans="2:31" s="4" customFormat="1" x14ac:dyDescent="0.25">
      <c r="B18" s="171" t="s">
        <v>188</v>
      </c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AE18" s="1" t="s">
        <v>189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273" t="s">
        <v>190</v>
      </c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85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89"/>
      <c r="D44" s="89"/>
      <c r="E44" s="89"/>
      <c r="F44" s="89"/>
      <c r="G44" s="89"/>
      <c r="H44" s="89"/>
      <c r="I44" s="89"/>
      <c r="J44" s="89"/>
      <c r="K44" s="14">
        <v>2020</v>
      </c>
      <c r="L44" s="14"/>
      <c r="M44" s="14"/>
      <c r="N44" s="14" t="s">
        <v>191</v>
      </c>
      <c r="O44" s="14">
        <v>2021</v>
      </c>
      <c r="P44" s="14" t="s">
        <v>191</v>
      </c>
      <c r="Q44" s="14" t="s">
        <v>192</v>
      </c>
      <c r="R44" s="14" t="s">
        <v>193</v>
      </c>
      <c r="S44" s="14" t="s">
        <v>194</v>
      </c>
      <c r="T44" s="89"/>
      <c r="AE44" s="1"/>
    </row>
    <row r="45" spans="2:31" s="4" customFormat="1" ht="18.75" hidden="1" x14ac:dyDescent="0.3">
      <c r="B45" s="230" t="s">
        <v>178</v>
      </c>
      <c r="C45" s="231"/>
      <c r="D45" s="231"/>
      <c r="E45" s="231"/>
      <c r="F45" s="231"/>
      <c r="G45" s="231"/>
      <c r="H45" s="231"/>
      <c r="I45" s="231"/>
      <c r="J45" s="231"/>
      <c r="K45" s="231">
        <v>1824653</v>
      </c>
      <c r="L45" s="231"/>
      <c r="M45" s="231"/>
      <c r="N45" s="232"/>
      <c r="O45" s="231">
        <v>2354005</v>
      </c>
      <c r="P45" s="232"/>
      <c r="Q45" s="232">
        <v>1</v>
      </c>
      <c r="R45" s="232">
        <v>0.2901110512519367</v>
      </c>
      <c r="S45" s="231">
        <v>529352</v>
      </c>
      <c r="T45" s="243"/>
      <c r="AE45" s="1"/>
    </row>
    <row r="46" spans="2:31" ht="18.75" hidden="1" x14ac:dyDescent="0.3">
      <c r="B46" s="230" t="s">
        <v>179</v>
      </c>
      <c r="C46" s="231"/>
      <c r="D46" s="231"/>
      <c r="E46" s="231"/>
      <c r="F46" s="231"/>
      <c r="G46" s="231"/>
      <c r="H46" s="231"/>
      <c r="I46" s="231"/>
      <c r="J46" s="231"/>
      <c r="K46" s="231">
        <v>603938</v>
      </c>
      <c r="L46" s="231"/>
      <c r="M46" s="231"/>
      <c r="N46" s="232">
        <v>1</v>
      </c>
      <c r="O46" s="231">
        <v>936181</v>
      </c>
      <c r="P46" s="232">
        <v>1</v>
      </c>
      <c r="Q46" s="232">
        <v>0.39769711619134201</v>
      </c>
      <c r="R46" s="232">
        <v>0.55012766211101138</v>
      </c>
      <c r="S46" s="231">
        <v>332243</v>
      </c>
      <c r="T46" s="243"/>
      <c r="AE46" s="1" t="s">
        <v>180</v>
      </c>
    </row>
    <row r="47" spans="2:31" ht="15.75" hidden="1" x14ac:dyDescent="0.25">
      <c r="B47" s="233" t="s">
        <v>105</v>
      </c>
      <c r="C47" s="234"/>
      <c r="D47" s="234"/>
      <c r="E47" s="234"/>
      <c r="F47" s="234"/>
      <c r="G47" s="234"/>
      <c r="H47" s="234"/>
      <c r="I47" s="234"/>
      <c r="J47" s="234"/>
      <c r="K47" s="234">
        <v>276550.36166633503</v>
      </c>
      <c r="L47" s="234"/>
      <c r="M47" s="234"/>
      <c r="N47" s="235">
        <v>0.45791184139155844</v>
      </c>
      <c r="O47" s="234">
        <v>430252.45635520399</v>
      </c>
      <c r="P47" s="235">
        <v>0.4595825554622493</v>
      </c>
      <c r="Q47" s="235">
        <v>0.18277465695918402</v>
      </c>
      <c r="R47" s="235">
        <v>0.55578337978930015</v>
      </c>
      <c r="S47" s="234">
        <v>153702.09468886897</v>
      </c>
      <c r="T47" s="244"/>
      <c r="AE47" s="1" t="s">
        <v>181</v>
      </c>
    </row>
    <row r="48" spans="2:31" s="4" customFormat="1" hidden="1" x14ac:dyDescent="0.25">
      <c r="B48" s="236" t="s">
        <v>108</v>
      </c>
      <c r="C48" s="237"/>
      <c r="D48" s="237"/>
      <c r="E48" s="237"/>
      <c r="F48" s="237"/>
      <c r="G48" s="237"/>
      <c r="H48" s="237"/>
      <c r="I48" s="237"/>
      <c r="J48" s="237"/>
      <c r="K48" s="237">
        <v>327387.63833385095</v>
      </c>
      <c r="L48" s="237"/>
      <c r="M48" s="237"/>
      <c r="N48" s="240">
        <v>0.54208815860874948</v>
      </c>
      <c r="O48" s="237">
        <v>505927.5436448183</v>
      </c>
      <c r="P48" s="240">
        <v>0.54041637636826456</v>
      </c>
      <c r="Q48" s="240">
        <v>0.21492203442423372</v>
      </c>
      <c r="R48" s="238">
        <v>0.54534711884540576</v>
      </c>
      <c r="S48" s="239">
        <v>178539.90531096736</v>
      </c>
      <c r="T48" s="246"/>
      <c r="AE48" s="1" t="s">
        <v>182</v>
      </c>
    </row>
    <row r="49" spans="2:31" s="4" customFormat="1" hidden="1" x14ac:dyDescent="0.25">
      <c r="B49" s="241" t="s">
        <v>183</v>
      </c>
      <c r="C49" s="29"/>
      <c r="D49" s="29"/>
      <c r="E49" s="29"/>
      <c r="F49" s="29"/>
      <c r="G49" s="29"/>
      <c r="H49" s="29"/>
      <c r="I49" s="29"/>
      <c r="J49" s="29"/>
      <c r="K49" s="29">
        <v>242109.12821622068</v>
      </c>
      <c r="L49" s="29"/>
      <c r="M49" s="29"/>
      <c r="N49" s="31">
        <v>0.4008840778626625</v>
      </c>
      <c r="O49" s="29">
        <v>391384.01224089495</v>
      </c>
      <c r="P49" s="31">
        <v>0.41806446855992052</v>
      </c>
      <c r="Q49" s="31">
        <v>0.16626303352834634</v>
      </c>
      <c r="R49" s="22">
        <v>0.61656033014732592</v>
      </c>
      <c r="S49" s="20">
        <v>149274.88402467428</v>
      </c>
      <c r="T49" s="20"/>
      <c r="AE49" s="1" t="s">
        <v>184</v>
      </c>
    </row>
    <row r="50" spans="2:31" s="4" customFormat="1" hidden="1" x14ac:dyDescent="0.25">
      <c r="B50" s="241" t="s">
        <v>185</v>
      </c>
      <c r="C50" s="29"/>
      <c r="D50" s="29"/>
      <c r="E50" s="29"/>
      <c r="F50" s="29"/>
      <c r="G50" s="29"/>
      <c r="H50" s="29"/>
      <c r="I50" s="29"/>
      <c r="J50" s="29"/>
      <c r="K50" s="29">
        <v>85278.510117630256</v>
      </c>
      <c r="L50" s="29"/>
      <c r="M50" s="29"/>
      <c r="N50" s="31">
        <v>0.14120408074608695</v>
      </c>
      <c r="O50" s="29">
        <v>114543.53140392336</v>
      </c>
      <c r="P50" s="31">
        <v>0.12235190780834407</v>
      </c>
      <c r="Q50" s="31">
        <v>4.8659000895887379E-2</v>
      </c>
      <c r="R50" s="22">
        <v>0.34316994100771625</v>
      </c>
      <c r="S50" s="20">
        <v>29265.021286293108</v>
      </c>
      <c r="T50" s="20"/>
      <c r="AE50" s="1" t="s">
        <v>186</v>
      </c>
    </row>
    <row r="51" spans="2:31" s="4" customFormat="1" ht="7.5" hidden="1" customHeight="1" x14ac:dyDescent="0.25">
      <c r="B51" s="242"/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2"/>
      <c r="N51" s="242"/>
      <c r="O51" s="242"/>
      <c r="P51" s="242"/>
      <c r="Q51" s="242"/>
      <c r="R51" s="242"/>
      <c r="S51" s="242"/>
      <c r="AE51" s="1" t="s">
        <v>187</v>
      </c>
    </row>
    <row r="52" spans="2:31" s="4" customFormat="1" hidden="1" x14ac:dyDescent="0.25">
      <c r="B52" s="291" t="s">
        <v>188</v>
      </c>
      <c r="C52" s="291"/>
      <c r="D52" s="291"/>
      <c r="E52" s="291"/>
      <c r="F52" s="291"/>
      <c r="G52" s="291"/>
      <c r="H52" s="291"/>
      <c r="I52" s="291"/>
      <c r="J52" s="291"/>
      <c r="K52" s="291"/>
      <c r="L52" s="291"/>
      <c r="M52" s="291"/>
      <c r="N52" s="291"/>
      <c r="O52" s="291"/>
      <c r="P52" s="291"/>
      <c r="Q52" s="291"/>
      <c r="R52" s="291"/>
      <c r="S52" s="291"/>
      <c r="T52" s="49"/>
      <c r="AE52" s="1" t="s">
        <v>189</v>
      </c>
    </row>
    <row r="53" spans="2:31" s="4" customFormat="1" hidden="1" x14ac:dyDescent="0.25">
      <c r="AE53" s="1"/>
    </row>
    <row r="54" spans="2:31" hidden="1" x14ac:dyDescent="0.25">
      <c r="C54" s="125"/>
      <c r="D54" s="125"/>
      <c r="E54" s="125"/>
      <c r="F54" s="125"/>
      <c r="G54" s="125"/>
      <c r="H54" s="125"/>
      <c r="I54" s="125"/>
      <c r="J54" s="125"/>
      <c r="K54" s="125">
        <v>0.54208815860874948</v>
      </c>
      <c r="L54" s="125"/>
      <c r="M54" s="125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66" t="s">
        <v>209</v>
      </c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185">
        <v>2021</v>
      </c>
      <c r="D135" s="185">
        <v>2022</v>
      </c>
      <c r="E135" s="185">
        <v>2023</v>
      </c>
      <c r="F135" s="185">
        <v>2024</v>
      </c>
      <c r="G135" s="173" t="str">
        <f>CONCATENATE("var. ",RIGHT(F135,2),"/",RIGHT(E135,2))</f>
        <v>var. 24/23</v>
      </c>
      <c r="H135" s="173" t="str">
        <f>CONCATENATE("dif. ",RIGHT(F135,2),"/",RIGHT(E135,2))</f>
        <v>dif. 24/23</v>
      </c>
      <c r="I135" s="173" t="str">
        <f>CONCATENATE("%/s total Península ",RIGHT(F135,4))</f>
        <v>%/s total Península 2024</v>
      </c>
      <c r="J135" s="185">
        <v>2025</v>
      </c>
      <c r="K135" s="173" t="str">
        <f>CONCATENATE("%/s total España ",RIGHT(J135,4))</f>
        <v>%/s total España 2025</v>
      </c>
      <c r="L135" s="173" t="str">
        <f>CONCATENATE("var. ",RIGHT(J135,2),"/",RIGHT(F135,2))</f>
        <v>var. 25/24</v>
      </c>
      <c r="M135" s="173" t="str">
        <f>CONCATENATE("dif. ",RIGHT(J135,2),"/",RIGHT(F135,2))</f>
        <v>dif. 25/24</v>
      </c>
      <c r="N135" s="173" t="str">
        <f>CONCATENATE("var. ",RIGHT(J135,2),"/",RIGHT(C135,2))</f>
        <v>var. 25/21</v>
      </c>
      <c r="O135" s="173" t="str">
        <f>CONCATENATE("dif. ",RIGHT(J135,2),"/",RIGHT(C135,2))</f>
        <v>dif. 25/21</v>
      </c>
      <c r="Z135" s="1"/>
    </row>
    <row r="136" spans="1:31" ht="18.75" x14ac:dyDescent="0.3">
      <c r="A136" s="4"/>
      <c r="B136" s="230" t="s">
        <v>210</v>
      </c>
      <c r="C136" s="234">
        <v>800301</v>
      </c>
      <c r="D136" s="234">
        <v>1017559</v>
      </c>
      <c r="E136" s="234">
        <v>1042721</v>
      </c>
      <c r="F136" s="234">
        <v>1059034</v>
      </c>
      <c r="G136" s="235">
        <f>F136/E136-1</f>
        <v>1.56446451159995E-2</v>
      </c>
      <c r="H136" s="234">
        <f>F136-E136</f>
        <v>16313</v>
      </c>
      <c r="I136" s="235">
        <f>F136/F$136</f>
        <v>1</v>
      </c>
      <c r="J136" s="234">
        <v>1068407</v>
      </c>
      <c r="K136" s="235">
        <f>H136/H$136</f>
        <v>1</v>
      </c>
      <c r="L136" s="235">
        <f>J136/F136-1</f>
        <v>8.8505184913798551E-3</v>
      </c>
      <c r="M136" s="234">
        <f>J136-F136</f>
        <v>9373</v>
      </c>
      <c r="N136" s="235">
        <f>J136/C136-1</f>
        <v>0.33500645382174965</v>
      </c>
      <c r="O136" s="234">
        <f>J136-C136</f>
        <v>268106</v>
      </c>
      <c r="Q136" s="29"/>
      <c r="R136" s="81"/>
      <c r="Z136" s="1" t="s">
        <v>180</v>
      </c>
      <c r="AE136"/>
    </row>
    <row r="137" spans="1:31" s="4" customFormat="1" x14ac:dyDescent="0.25">
      <c r="B137" s="241" t="s">
        <v>46</v>
      </c>
      <c r="C137" s="258">
        <v>247584</v>
      </c>
      <c r="D137" s="258">
        <v>207257</v>
      </c>
      <c r="E137" s="258">
        <v>181700</v>
      </c>
      <c r="F137" s="258">
        <v>161848</v>
      </c>
      <c r="G137" s="264">
        <f t="shared" ref="G137:G146" si="12">F137/E137-1</f>
        <v>-0.1092570170610897</v>
      </c>
      <c r="H137" s="271">
        <f t="shared" ref="H137:H146" si="13">F137-E137</f>
        <v>-19852</v>
      </c>
      <c r="I137" s="266">
        <f t="shared" ref="I137:K146" si="14">F137/F$136</f>
        <v>0.15282606601865473</v>
      </c>
      <c r="J137" s="258">
        <v>147955</v>
      </c>
      <c r="K137" s="266">
        <f t="shared" si="14"/>
        <v>-1.2169435419603998</v>
      </c>
      <c r="L137" s="266">
        <f t="shared" ref="L137:L146" si="15">J137/F137-1</f>
        <v>-8.5839800306460434E-2</v>
      </c>
      <c r="M137" s="265">
        <f t="shared" ref="M137:M146" si="16">J137-F137</f>
        <v>-13893</v>
      </c>
      <c r="N137" s="264">
        <f t="shared" ref="N137:N146" si="17">J137/C137-1</f>
        <v>-0.40240484037740731</v>
      </c>
      <c r="O137" s="258">
        <f t="shared" ref="O137:O146" si="18">J137-C137</f>
        <v>-99629</v>
      </c>
      <c r="Q137" s="29"/>
      <c r="R137" s="81"/>
      <c r="Z137" s="1" t="s">
        <v>182</v>
      </c>
    </row>
    <row r="138" spans="1:31" s="4" customFormat="1" x14ac:dyDescent="0.25">
      <c r="B138" s="241" t="s">
        <v>47</v>
      </c>
      <c r="C138" s="258">
        <v>83468</v>
      </c>
      <c r="D138" s="258">
        <v>124091</v>
      </c>
      <c r="E138" s="258">
        <v>119487</v>
      </c>
      <c r="F138" s="258">
        <v>114632</v>
      </c>
      <c r="G138" s="264">
        <f t="shared" si="12"/>
        <v>-4.063203528417314E-2</v>
      </c>
      <c r="H138" s="271">
        <f t="shared" si="13"/>
        <v>-4855</v>
      </c>
      <c r="I138" s="266">
        <f t="shared" si="14"/>
        <v>0.10824203944349284</v>
      </c>
      <c r="J138" s="258">
        <v>118257</v>
      </c>
      <c r="K138" s="266">
        <f t="shared" si="14"/>
        <v>-0.29761539876172377</v>
      </c>
      <c r="L138" s="266">
        <f t="shared" si="15"/>
        <v>3.1622932514481228E-2</v>
      </c>
      <c r="M138" s="265">
        <f t="shared" si="16"/>
        <v>3625</v>
      </c>
      <c r="N138" s="264">
        <f t="shared" si="17"/>
        <v>0.41679446015239363</v>
      </c>
      <c r="O138" s="258">
        <f t="shared" si="18"/>
        <v>34789</v>
      </c>
      <c r="Q138" s="29"/>
      <c r="R138" s="81"/>
      <c r="Z138" s="1"/>
    </row>
    <row r="139" spans="1:31" s="4" customFormat="1" x14ac:dyDescent="0.25">
      <c r="B139" s="241" t="s">
        <v>48</v>
      </c>
      <c r="C139" s="258">
        <v>4950</v>
      </c>
      <c r="D139" s="258">
        <v>6762</v>
      </c>
      <c r="E139" s="258">
        <v>20295</v>
      </c>
      <c r="F139" s="258">
        <v>11990</v>
      </c>
      <c r="G139" s="264">
        <f t="shared" si="12"/>
        <v>-0.40921409214092141</v>
      </c>
      <c r="H139" s="271">
        <f t="shared" si="13"/>
        <v>-8305</v>
      </c>
      <c r="I139" s="266">
        <f t="shared" si="14"/>
        <v>1.1321638398767179E-2</v>
      </c>
      <c r="J139" s="258">
        <v>10059</v>
      </c>
      <c r="K139" s="270">
        <f t="shared" si="14"/>
        <v>-0.50910316925151722</v>
      </c>
      <c r="L139" s="266">
        <f t="shared" si="15"/>
        <v>-0.16105087572977483</v>
      </c>
      <c r="M139" s="265">
        <f t="shared" si="16"/>
        <v>-1931</v>
      </c>
      <c r="N139" s="264">
        <f t="shared" si="17"/>
        <v>1.0321212121212122</v>
      </c>
      <c r="O139" s="258">
        <f t="shared" si="18"/>
        <v>5109</v>
      </c>
      <c r="Q139" s="29"/>
      <c r="R139" s="81"/>
      <c r="Z139" s="1"/>
    </row>
    <row r="140" spans="1:31" s="4" customFormat="1" x14ac:dyDescent="0.25">
      <c r="B140" s="241" t="s">
        <v>50</v>
      </c>
      <c r="C140" s="258">
        <v>181693</v>
      </c>
      <c r="D140" s="258">
        <v>342907</v>
      </c>
      <c r="E140" s="258">
        <v>343297</v>
      </c>
      <c r="F140" s="258">
        <v>382439</v>
      </c>
      <c r="G140" s="264">
        <f t="shared" si="12"/>
        <v>0.1140178912137304</v>
      </c>
      <c r="H140" s="271">
        <f t="shared" si="13"/>
        <v>39142</v>
      </c>
      <c r="I140" s="266">
        <f t="shared" si="14"/>
        <v>0.36112060613729113</v>
      </c>
      <c r="J140" s="258">
        <v>398420</v>
      </c>
      <c r="K140" s="266">
        <f t="shared" si="14"/>
        <v>2.3994360326120274</v>
      </c>
      <c r="L140" s="266">
        <f t="shared" si="15"/>
        <v>4.1787056236419318E-2</v>
      </c>
      <c r="M140" s="265">
        <f t="shared" si="16"/>
        <v>15981</v>
      </c>
      <c r="N140" s="264">
        <f t="shared" si="17"/>
        <v>1.1928197564022831</v>
      </c>
      <c r="O140" s="258">
        <f t="shared" si="18"/>
        <v>216727</v>
      </c>
      <c r="Q140" s="29"/>
      <c r="R140" s="81"/>
      <c r="Z140" s="1"/>
    </row>
    <row r="141" spans="1:31" s="4" customFormat="1" x14ac:dyDescent="0.25">
      <c r="B141" s="241" t="s">
        <v>52</v>
      </c>
      <c r="C141" s="258">
        <v>44398</v>
      </c>
      <c r="D141" s="258">
        <v>48630</v>
      </c>
      <c r="E141" s="258">
        <v>55684</v>
      </c>
      <c r="F141" s="258">
        <v>49807</v>
      </c>
      <c r="G141" s="264">
        <f t="shared" si="12"/>
        <v>-0.10554198692622652</v>
      </c>
      <c r="H141" s="271">
        <f t="shared" si="13"/>
        <v>-5877</v>
      </c>
      <c r="I141" s="266">
        <f t="shared" si="14"/>
        <v>4.7030595807122343E-2</v>
      </c>
      <c r="J141" s="258">
        <v>52122</v>
      </c>
      <c r="K141" s="270">
        <f t="shared" si="14"/>
        <v>-0.36026481946913502</v>
      </c>
      <c r="L141" s="266">
        <f t="shared" si="15"/>
        <v>4.647941052462512E-2</v>
      </c>
      <c r="M141" s="265">
        <f t="shared" si="16"/>
        <v>2315</v>
      </c>
      <c r="N141" s="264">
        <f t="shared" si="17"/>
        <v>0.17397180053155537</v>
      </c>
      <c r="O141" s="258">
        <f t="shared" si="18"/>
        <v>7724</v>
      </c>
      <c r="Q141" s="29"/>
      <c r="R141" s="81"/>
      <c r="Z141" s="1"/>
    </row>
    <row r="142" spans="1:31" s="4" customFormat="1" x14ac:dyDescent="0.25">
      <c r="B142" s="241" t="s">
        <v>53</v>
      </c>
      <c r="C142" s="258">
        <v>104557</v>
      </c>
      <c r="D142" s="258">
        <v>134886</v>
      </c>
      <c r="E142" s="258">
        <v>147214</v>
      </c>
      <c r="F142" s="258">
        <v>155988</v>
      </c>
      <c r="G142" s="264">
        <f t="shared" si="12"/>
        <v>5.9600309753148561E-2</v>
      </c>
      <c r="H142" s="271">
        <f t="shared" si="13"/>
        <v>8774</v>
      </c>
      <c r="I142" s="266">
        <f t="shared" si="14"/>
        <v>0.14729272148014133</v>
      </c>
      <c r="J142" s="258">
        <v>178403</v>
      </c>
      <c r="K142" s="266">
        <f t="shared" si="14"/>
        <v>0.53785324587752104</v>
      </c>
      <c r="L142" s="266">
        <f t="shared" si="15"/>
        <v>0.14369695104751656</v>
      </c>
      <c r="M142" s="265">
        <f t="shared" si="16"/>
        <v>22415</v>
      </c>
      <c r="N142" s="264">
        <f t="shared" si="17"/>
        <v>0.7062750461470777</v>
      </c>
      <c r="O142" s="258">
        <f t="shared" si="18"/>
        <v>73846</v>
      </c>
      <c r="Q142" s="29"/>
      <c r="R142" s="81"/>
      <c r="Z142" s="1"/>
    </row>
    <row r="143" spans="1:31" s="4" customFormat="1" x14ac:dyDescent="0.25">
      <c r="B143" s="241" t="s">
        <v>51</v>
      </c>
      <c r="C143" s="258">
        <v>21732</v>
      </c>
      <c r="D143" s="258">
        <v>33809</v>
      </c>
      <c r="E143" s="258">
        <v>37722</v>
      </c>
      <c r="F143" s="258">
        <v>35821</v>
      </c>
      <c r="G143" s="264">
        <f t="shared" si="12"/>
        <v>-5.0394994963151474E-2</v>
      </c>
      <c r="H143" s="271">
        <f t="shared" si="13"/>
        <v>-1901</v>
      </c>
      <c r="I143" s="266">
        <f t="shared" si="14"/>
        <v>3.3824220940970734E-2</v>
      </c>
      <c r="J143" s="258">
        <v>35565</v>
      </c>
      <c r="K143" s="270">
        <f t="shared" si="14"/>
        <v>-0.1165328265800282</v>
      </c>
      <c r="L143" s="266">
        <f t="shared" si="15"/>
        <v>-7.146645822282971E-3</v>
      </c>
      <c r="M143" s="265">
        <f t="shared" si="16"/>
        <v>-256</v>
      </c>
      <c r="N143" s="264">
        <f t="shared" si="17"/>
        <v>0.63652678078409708</v>
      </c>
      <c r="O143" s="258">
        <f t="shared" si="18"/>
        <v>13833</v>
      </c>
      <c r="Q143" s="29"/>
      <c r="R143" s="81"/>
      <c r="Z143" s="1"/>
    </row>
    <row r="144" spans="1:31" s="4" customFormat="1" x14ac:dyDescent="0.25">
      <c r="B144" s="241" t="s">
        <v>54</v>
      </c>
      <c r="C144" s="258">
        <v>45216</v>
      </c>
      <c r="D144" s="258">
        <v>29086</v>
      </c>
      <c r="E144" s="258">
        <v>33671</v>
      </c>
      <c r="F144" s="258">
        <v>29209</v>
      </c>
      <c r="G144" s="264">
        <f t="shared" si="12"/>
        <v>-0.13251759674497343</v>
      </c>
      <c r="H144" s="271">
        <f t="shared" si="13"/>
        <v>-4462</v>
      </c>
      <c r="I144" s="266">
        <f t="shared" si="14"/>
        <v>2.7580795328573021E-2</v>
      </c>
      <c r="J144" s="258">
        <v>32990</v>
      </c>
      <c r="K144" s="266">
        <f t="shared" si="14"/>
        <v>-0.27352418316679949</v>
      </c>
      <c r="L144" s="266">
        <f t="shared" si="15"/>
        <v>0.12944640350576875</v>
      </c>
      <c r="M144" s="265">
        <f t="shared" si="16"/>
        <v>3781</v>
      </c>
      <c r="N144" s="264">
        <f t="shared" si="17"/>
        <v>-0.27039101203113947</v>
      </c>
      <c r="O144" s="258">
        <f t="shared" si="18"/>
        <v>-12226</v>
      </c>
      <c r="Q144" s="29"/>
      <c r="R144" s="81"/>
      <c r="Z144" s="1"/>
    </row>
    <row r="145" spans="2:31" s="4" customFormat="1" x14ac:dyDescent="0.25">
      <c r="B145" s="241" t="s">
        <v>49</v>
      </c>
      <c r="C145" s="258">
        <v>26311</v>
      </c>
      <c r="D145" s="258">
        <v>32375</v>
      </c>
      <c r="E145" s="258">
        <v>43847</v>
      </c>
      <c r="F145" s="258">
        <v>61312</v>
      </c>
      <c r="G145" s="264">
        <f t="shared" si="12"/>
        <v>0.39831687458663079</v>
      </c>
      <c r="H145" s="271">
        <f t="shared" si="13"/>
        <v>17465</v>
      </c>
      <c r="I145" s="266">
        <f t="shared" si="14"/>
        <v>5.7894269683504022E-2</v>
      </c>
      <c r="J145" s="258">
        <v>42953</v>
      </c>
      <c r="K145" s="270">
        <f t="shared" si="14"/>
        <v>1.0706185251026787</v>
      </c>
      <c r="L145" s="266">
        <f t="shared" si="15"/>
        <v>-0.29943567327766174</v>
      </c>
      <c r="M145" s="265">
        <f t="shared" si="16"/>
        <v>-18359</v>
      </c>
      <c r="N145" s="264">
        <f t="shared" si="17"/>
        <v>0.63251111702329821</v>
      </c>
      <c r="O145" s="258">
        <f t="shared" si="18"/>
        <v>16642</v>
      </c>
      <c r="Q145" s="29"/>
      <c r="R145" s="81"/>
      <c r="Z145" s="1"/>
    </row>
    <row r="146" spans="2:31" s="4" customFormat="1" x14ac:dyDescent="0.25">
      <c r="B146" s="241" t="s">
        <v>211</v>
      </c>
      <c r="C146" s="258">
        <f>C136-SUM(C137:C145)</f>
        <v>40392</v>
      </c>
      <c r="D146" s="258">
        <f>D136-SUM(D137:D145)</f>
        <v>57756</v>
      </c>
      <c r="E146" s="258">
        <f>E136-SUM(E137:E145)</f>
        <v>59804</v>
      </c>
      <c r="F146" s="258">
        <f>F136-SUM(F137:F145)</f>
        <v>55988</v>
      </c>
      <c r="G146" s="264">
        <f t="shared" si="12"/>
        <v>-6.3808440906962693E-2</v>
      </c>
      <c r="H146" s="271">
        <f t="shared" si="13"/>
        <v>-3816</v>
      </c>
      <c r="I146" s="266">
        <f t="shared" si="14"/>
        <v>5.2867046761482635E-2</v>
      </c>
      <c r="J146" s="258">
        <f>J136-SUM(J137:J145)</f>
        <v>51683</v>
      </c>
      <c r="K146" s="266">
        <f t="shared" si="14"/>
        <v>-0.23392386440262367</v>
      </c>
      <c r="L146" s="266">
        <f t="shared" si="15"/>
        <v>-7.689147674501684E-2</v>
      </c>
      <c r="M146" s="265">
        <f t="shared" si="16"/>
        <v>-4305</v>
      </c>
      <c r="N146" s="264">
        <f t="shared" si="17"/>
        <v>0.27953555159437515</v>
      </c>
      <c r="O146" s="258">
        <f t="shared" si="18"/>
        <v>11291</v>
      </c>
      <c r="Q146" s="29"/>
      <c r="R146" s="81"/>
      <c r="Z146" s="1"/>
    </row>
    <row r="147" spans="2:31" s="4" customFormat="1" ht="7.5" customHeight="1" x14ac:dyDescent="0.25"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Z147" s="1" t="s">
        <v>187</v>
      </c>
    </row>
    <row r="148" spans="2:31" s="4" customFormat="1" x14ac:dyDescent="0.25">
      <c r="B148" s="171" t="s">
        <v>188</v>
      </c>
      <c r="C148" s="171"/>
      <c r="D148" s="171"/>
      <c r="E148" s="171"/>
      <c r="F148" s="171"/>
      <c r="G148" s="171"/>
      <c r="H148" s="171"/>
      <c r="I148" s="171"/>
      <c r="J148" s="171"/>
      <c r="K148" s="171"/>
      <c r="L148" s="171"/>
      <c r="M148" s="171"/>
      <c r="N148" s="171"/>
      <c r="O148" s="171"/>
      <c r="Z148" s="1" t="s">
        <v>189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1B6C1-3019-459F-B79C-4F86BD7C6B2C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212</v>
      </c>
      <c r="G1" s="229"/>
      <c r="H1" s="229"/>
      <c r="I1" s="229"/>
      <c r="K1" s="229"/>
    </row>
    <row r="3" spans="1:31" s="4" customFormat="1" ht="25.5" customHeight="1" thickBot="1" x14ac:dyDescent="0.3">
      <c r="B3" s="66" t="s">
        <v>213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247" t="s">
        <v>270</v>
      </c>
      <c r="D5" s="247" t="s">
        <v>271</v>
      </c>
      <c r="E5" s="247" t="s">
        <v>272</v>
      </c>
      <c r="F5" s="248" t="str">
        <f>CONCATENATE("%/s total Tenerife ",RIGHT(E5,4))</f>
        <v>%/s total Tenerife 2023</v>
      </c>
      <c r="G5" s="247" t="s">
        <v>273</v>
      </c>
      <c r="H5" s="248" t="str">
        <f>CONCATENATE("var. ",RIGHT(G5,2),"/",RIGHT(E5,2))</f>
        <v>var. 24/23</v>
      </c>
      <c r="I5" s="248" t="str">
        <f>CONCATENATE("dif. ",RIGHT(G5,2),"/",RIGHT(E5,2))</f>
        <v>dif. 24/23</v>
      </c>
      <c r="J5" s="248" t="str">
        <f>CONCATENATE("%/s total Tenerife ",RIGHT(G5,4))</f>
        <v>%/s total Tenerife 2024</v>
      </c>
      <c r="K5" s="247" t="s">
        <v>274</v>
      </c>
      <c r="L5" s="248" t="str">
        <f>CONCATENATE("var. ",RIGHT(K5,2),"/",RIGHT(G5,2))</f>
        <v>var. 25/24</v>
      </c>
      <c r="M5" s="248" t="str">
        <f>CONCATENATE("dif. ",RIGHT(K5,2),"/",RIGHT(G5,2))</f>
        <v>dif. 25/24</v>
      </c>
      <c r="N5" s="248" t="str">
        <f>CONCATENATE("%/s total Tenerife ",RIGHT(K5,4))</f>
        <v>%/s total Tenerife 2025</v>
      </c>
      <c r="O5" s="247" t="s">
        <v>275</v>
      </c>
      <c r="P5" s="248" t="str">
        <f>CONCATENATE("var. ",RIGHT(O5,2),"/",RIGHT(K5,2))</f>
        <v>var. 26/25</v>
      </c>
      <c r="Q5" s="248" t="str">
        <f>CONCATENATE("dif. ",RIGHT(O5,2),"/",RIGHT(K5,2))</f>
        <v>dif. 26/25</v>
      </c>
      <c r="R5" s="248" t="str">
        <f>CONCATENATE("var. ",RIGHT(O5,2),"/",RIGHT(C5,2))</f>
        <v>var. 26/21</v>
      </c>
      <c r="S5" s="248" t="str">
        <f>CONCATENATE("dif. ",RIGHT(O5,2),"/",RIGHT(C5,2))</f>
        <v>dif. 26/21</v>
      </c>
      <c r="T5" s="248" t="str">
        <f>CONCATENATE("%/s total Tenerife ",RIGHT(O5,4))</f>
        <v>%/s total Tenerife 2026</v>
      </c>
      <c r="AE5" s="1"/>
    </row>
    <row r="6" spans="1:31" ht="18.75" x14ac:dyDescent="0.3">
      <c r="A6" s="4"/>
      <c r="B6" s="230" t="s">
        <v>210</v>
      </c>
      <c r="C6" s="249">
        <v>155072</v>
      </c>
      <c r="D6" s="249">
        <v>329527</v>
      </c>
      <c r="E6" s="249">
        <v>355564</v>
      </c>
      <c r="F6" s="250">
        <f>E6/$E$6</f>
        <v>1</v>
      </c>
      <c r="G6" s="249">
        <v>360379</v>
      </c>
      <c r="H6" s="250">
        <f>G6/E6-1</f>
        <v>1.35418658806854E-2</v>
      </c>
      <c r="I6" s="249">
        <f>G6-E6</f>
        <v>4815</v>
      </c>
      <c r="J6" s="250">
        <f>G6/$G$6</f>
        <v>1</v>
      </c>
      <c r="K6" s="249">
        <v>376369</v>
      </c>
      <c r="L6" s="250">
        <f>K6/G6-1</f>
        <v>4.4369954964079472E-2</v>
      </c>
      <c r="M6" s="249">
        <f>K6-G6</f>
        <v>15990</v>
      </c>
      <c r="N6" s="250">
        <f>K6/$K$6</f>
        <v>1</v>
      </c>
      <c r="O6" s="249">
        <v>360815</v>
      </c>
      <c r="P6" s="250">
        <f>O6/K6-1</f>
        <v>-4.1326464188070733E-2</v>
      </c>
      <c r="Q6" s="249">
        <f>O6-K6</f>
        <v>-15554</v>
      </c>
      <c r="R6" s="250">
        <f>IFERROR(O6/C6-1,"-")</f>
        <v>1.3267578931077177</v>
      </c>
      <c r="S6" s="249">
        <f>O6-C6</f>
        <v>205743</v>
      </c>
      <c r="T6" s="250">
        <f>O6/$O$6</f>
        <v>1</v>
      </c>
      <c r="V6" s="29"/>
      <c r="W6" s="81"/>
      <c r="AE6" s="1" t="s">
        <v>180</v>
      </c>
    </row>
    <row r="7" spans="1:31" s="4" customFormat="1" x14ac:dyDescent="0.25">
      <c r="B7" s="241" t="s">
        <v>46</v>
      </c>
      <c r="C7" s="258">
        <v>57500</v>
      </c>
      <c r="D7" s="258">
        <v>66436</v>
      </c>
      <c r="E7" s="258">
        <v>59844</v>
      </c>
      <c r="F7" s="264">
        <f t="shared" ref="F7:F16" si="0">E7/$E$6</f>
        <v>0.16830725270274832</v>
      </c>
      <c r="G7" s="258">
        <v>54537</v>
      </c>
      <c r="H7" s="266">
        <f>G7/E7-1</f>
        <v>-8.8680569480649729E-2</v>
      </c>
      <c r="I7" s="265">
        <f>G7-E7</f>
        <v>-5307</v>
      </c>
      <c r="J7" s="264">
        <f>G7/$G$6</f>
        <v>0.15133234733433412</v>
      </c>
      <c r="K7" s="258">
        <v>44476</v>
      </c>
      <c r="L7" s="266">
        <f>K7/G7-1</f>
        <v>-0.18448026110713822</v>
      </c>
      <c r="M7" s="265">
        <f>K7-G7</f>
        <v>-10061</v>
      </c>
      <c r="N7" s="264">
        <f>K7/$K$6</f>
        <v>0.11817126277668989</v>
      </c>
      <c r="O7" s="258">
        <v>46059</v>
      </c>
      <c r="P7" s="266">
        <f>O7/K7-1</f>
        <v>3.5592229517042995E-2</v>
      </c>
      <c r="Q7" s="265">
        <f>O7-K7</f>
        <v>1583</v>
      </c>
      <c r="R7" s="266">
        <f t="shared" ref="R7:R16" si="1">IFERROR(O7/C7-1,"-")</f>
        <v>-0.19897391304347822</v>
      </c>
      <c r="S7" s="265">
        <f t="shared" ref="S7:S16" si="2">O7-C7</f>
        <v>-11441</v>
      </c>
      <c r="T7" s="264">
        <f>O7/$O$6</f>
        <v>0.1276526751936588</v>
      </c>
      <c r="V7" s="29"/>
      <c r="W7" s="81"/>
      <c r="AE7" s="1" t="s">
        <v>182</v>
      </c>
    </row>
    <row r="8" spans="1:31" s="4" customFormat="1" x14ac:dyDescent="0.25">
      <c r="B8" s="241" t="s">
        <v>47</v>
      </c>
      <c r="C8" s="258">
        <v>12365</v>
      </c>
      <c r="D8" s="258">
        <v>40782</v>
      </c>
      <c r="E8" s="258">
        <v>36592</v>
      </c>
      <c r="F8" s="264">
        <f t="shared" si="0"/>
        <v>0.10291255582679912</v>
      </c>
      <c r="G8" s="258">
        <v>34124</v>
      </c>
      <c r="H8" s="266">
        <f t="shared" ref="H8:H16" si="3">G8/E8-1</f>
        <v>-6.7446436379536512E-2</v>
      </c>
      <c r="I8" s="265">
        <f t="shared" ref="I8:I16" si="4">G8-E8</f>
        <v>-2468</v>
      </c>
      <c r="J8" s="264">
        <f t="shared" ref="J8:J16" si="5">G8/$G$6</f>
        <v>9.4689202201016148E-2</v>
      </c>
      <c r="K8" s="258">
        <v>36881</v>
      </c>
      <c r="L8" s="266">
        <f t="shared" ref="L8:L16" si="6">K8/G8-1</f>
        <v>8.0793576368538345E-2</v>
      </c>
      <c r="M8" s="265">
        <f t="shared" ref="M8:M16" si="7">K8-G8</f>
        <v>2757</v>
      </c>
      <c r="N8" s="264">
        <f t="shared" ref="N8:N16" si="8">K8/$K$6</f>
        <v>9.7991598670453733E-2</v>
      </c>
      <c r="O8" s="258">
        <v>39579</v>
      </c>
      <c r="P8" s="266">
        <f t="shared" ref="P8:P16" si="9">O8/K8-1</f>
        <v>7.315419863886552E-2</v>
      </c>
      <c r="Q8" s="265">
        <f t="shared" ref="Q8:Q16" si="10">O8-K8</f>
        <v>2698</v>
      </c>
      <c r="R8" s="266">
        <f t="shared" si="1"/>
        <v>2.2008896077638496</v>
      </c>
      <c r="S8" s="265">
        <f t="shared" si="2"/>
        <v>27214</v>
      </c>
      <c r="T8" s="264">
        <f t="shared" ref="T8:T16" si="11">O8/$O$6</f>
        <v>0.10969333314856644</v>
      </c>
      <c r="V8" s="29"/>
      <c r="W8" s="81"/>
      <c r="AE8" s="1"/>
    </row>
    <row r="9" spans="1:31" s="4" customFormat="1" x14ac:dyDescent="0.25">
      <c r="B9" s="241" t="s">
        <v>48</v>
      </c>
      <c r="C9" s="258">
        <v>1160</v>
      </c>
      <c r="D9" s="258">
        <v>1497</v>
      </c>
      <c r="E9" s="258">
        <v>3389</v>
      </c>
      <c r="F9" s="259">
        <f t="shared" si="0"/>
        <v>9.5313361307668935E-3</v>
      </c>
      <c r="G9" s="258">
        <v>2752</v>
      </c>
      <c r="H9" s="270">
        <f t="shared" si="3"/>
        <v>-0.187961050457362</v>
      </c>
      <c r="I9" s="261">
        <f t="shared" si="4"/>
        <v>-637</v>
      </c>
      <c r="J9" s="259">
        <f t="shared" si="5"/>
        <v>7.636405006951015E-3</v>
      </c>
      <c r="K9" s="258">
        <v>1948</v>
      </c>
      <c r="L9" s="266">
        <f t="shared" si="6"/>
        <v>-0.29215116279069764</v>
      </c>
      <c r="M9" s="265">
        <f t="shared" si="7"/>
        <v>-804</v>
      </c>
      <c r="N9" s="264">
        <f t="shared" si="8"/>
        <v>5.1757716496310799E-3</v>
      </c>
      <c r="O9" s="258">
        <v>5034</v>
      </c>
      <c r="P9" s="266">
        <f t="shared" si="9"/>
        <v>1.5841889117043122</v>
      </c>
      <c r="Q9" s="265">
        <f t="shared" si="10"/>
        <v>3086</v>
      </c>
      <c r="R9" s="266">
        <f t="shared" si="1"/>
        <v>3.3396551724137931</v>
      </c>
      <c r="S9" s="265">
        <f t="shared" si="2"/>
        <v>3874</v>
      </c>
      <c r="T9" s="264">
        <f t="shared" si="11"/>
        <v>1.3951748125770824E-2</v>
      </c>
      <c r="V9" s="29"/>
      <c r="W9" s="81"/>
      <c r="AE9" s="1"/>
    </row>
    <row r="10" spans="1:31" s="4" customFormat="1" x14ac:dyDescent="0.25">
      <c r="B10" s="241" t="s">
        <v>50</v>
      </c>
      <c r="C10" s="258">
        <v>39205</v>
      </c>
      <c r="D10" s="258">
        <v>139217</v>
      </c>
      <c r="E10" s="258">
        <v>150520</v>
      </c>
      <c r="F10" s="264">
        <f t="shared" si="0"/>
        <v>0.42332744597315813</v>
      </c>
      <c r="G10" s="258">
        <v>158367</v>
      </c>
      <c r="H10" s="266">
        <f t="shared" si="3"/>
        <v>5.2132606962529859E-2</v>
      </c>
      <c r="I10" s="265">
        <f t="shared" si="4"/>
        <v>7847</v>
      </c>
      <c r="J10" s="264">
        <f t="shared" si="5"/>
        <v>0.43944569467144312</v>
      </c>
      <c r="K10" s="258">
        <v>176232</v>
      </c>
      <c r="L10" s="266">
        <f t="shared" si="6"/>
        <v>0.11280759249085981</v>
      </c>
      <c r="M10" s="265">
        <f t="shared" si="7"/>
        <v>17865</v>
      </c>
      <c r="N10" s="264">
        <f t="shared" si="8"/>
        <v>0.46824260233972509</v>
      </c>
      <c r="O10" s="258">
        <v>162665</v>
      </c>
      <c r="P10" s="266">
        <f t="shared" si="9"/>
        <v>-7.698374869490221E-2</v>
      </c>
      <c r="Q10" s="265">
        <f t="shared" si="10"/>
        <v>-13567</v>
      </c>
      <c r="R10" s="266">
        <f t="shared" si="1"/>
        <v>3.1490881265144752</v>
      </c>
      <c r="S10" s="265">
        <f t="shared" si="2"/>
        <v>123460</v>
      </c>
      <c r="T10" s="264">
        <f>O10/$O$6</f>
        <v>0.4508266008896526</v>
      </c>
      <c r="V10" s="29"/>
      <c r="W10" s="81"/>
      <c r="AE10" s="1"/>
    </row>
    <row r="11" spans="1:31" s="4" customFormat="1" x14ac:dyDescent="0.25">
      <c r="B11" s="241" t="s">
        <v>52</v>
      </c>
      <c r="C11" s="258">
        <v>9171</v>
      </c>
      <c r="D11" s="258">
        <v>15618</v>
      </c>
      <c r="E11" s="258">
        <v>18555</v>
      </c>
      <c r="F11" s="259">
        <f t="shared" si="0"/>
        <v>5.2184698113419803E-2</v>
      </c>
      <c r="G11" s="258">
        <v>19490</v>
      </c>
      <c r="H11" s="270">
        <f t="shared" si="3"/>
        <v>5.0390730261385075E-2</v>
      </c>
      <c r="I11" s="261">
        <f t="shared" si="4"/>
        <v>935</v>
      </c>
      <c r="J11" s="259">
        <f t="shared" si="5"/>
        <v>5.4081952611001197E-2</v>
      </c>
      <c r="K11" s="258">
        <v>20421</v>
      </c>
      <c r="L11" s="266">
        <f t="shared" si="6"/>
        <v>4.7768086198050286E-2</v>
      </c>
      <c r="M11" s="265">
        <f t="shared" si="7"/>
        <v>931</v>
      </c>
      <c r="N11" s="264">
        <f t="shared" si="8"/>
        <v>5.4257922411250659E-2</v>
      </c>
      <c r="O11" s="258">
        <v>10765</v>
      </c>
      <c r="P11" s="266">
        <f t="shared" si="9"/>
        <v>-0.47284657950149356</v>
      </c>
      <c r="Q11" s="265">
        <f t="shared" si="10"/>
        <v>-9656</v>
      </c>
      <c r="R11" s="266">
        <f t="shared" si="1"/>
        <v>0.17380874495692944</v>
      </c>
      <c r="S11" s="265">
        <f t="shared" si="2"/>
        <v>1594</v>
      </c>
      <c r="T11" s="264">
        <f t="shared" si="11"/>
        <v>2.9835234122749885E-2</v>
      </c>
      <c r="V11" s="29"/>
      <c r="W11" s="81"/>
      <c r="AE11" s="1"/>
    </row>
    <row r="12" spans="1:31" s="4" customFormat="1" x14ac:dyDescent="0.25">
      <c r="B12" s="241" t="s">
        <v>53</v>
      </c>
      <c r="C12" s="258">
        <v>23118</v>
      </c>
      <c r="D12" s="258">
        <v>36702</v>
      </c>
      <c r="E12" s="258">
        <v>48024</v>
      </c>
      <c r="F12" s="264">
        <f t="shared" si="0"/>
        <v>0.13506429222305971</v>
      </c>
      <c r="G12" s="258">
        <v>48274</v>
      </c>
      <c r="H12" s="266">
        <f t="shared" si="3"/>
        <v>5.2057304680992456E-3</v>
      </c>
      <c r="I12" s="265">
        <f t="shared" si="4"/>
        <v>250</v>
      </c>
      <c r="J12" s="264">
        <f t="shared" si="5"/>
        <v>0.13395342125928536</v>
      </c>
      <c r="K12" s="258">
        <v>50408</v>
      </c>
      <c r="L12" s="266">
        <f t="shared" si="6"/>
        <v>4.4205990802502315E-2</v>
      </c>
      <c r="M12" s="265">
        <f t="shared" si="7"/>
        <v>2134</v>
      </c>
      <c r="N12" s="264">
        <f t="shared" si="8"/>
        <v>0.13393239081858496</v>
      </c>
      <c r="O12" s="258">
        <v>50727</v>
      </c>
      <c r="P12" s="266">
        <f t="shared" si="9"/>
        <v>6.328360577686043E-3</v>
      </c>
      <c r="Q12" s="265">
        <f t="shared" si="10"/>
        <v>319</v>
      </c>
      <c r="R12" s="266">
        <f t="shared" si="1"/>
        <v>1.1942642097067222</v>
      </c>
      <c r="S12" s="265">
        <f t="shared" si="2"/>
        <v>27609</v>
      </c>
      <c r="T12" s="264">
        <f t="shared" si="11"/>
        <v>0.14059005307429015</v>
      </c>
      <c r="V12" s="29"/>
      <c r="W12" s="81"/>
      <c r="AE12" s="1"/>
    </row>
    <row r="13" spans="1:31" s="4" customFormat="1" x14ac:dyDescent="0.25">
      <c r="B13" s="241" t="s">
        <v>51</v>
      </c>
      <c r="C13" s="258">
        <v>4159</v>
      </c>
      <c r="D13" s="258">
        <v>9476</v>
      </c>
      <c r="E13" s="258">
        <v>15942</v>
      </c>
      <c r="F13" s="259">
        <f t="shared" si="0"/>
        <v>4.4835810149508951E-2</v>
      </c>
      <c r="G13" s="258">
        <v>14063</v>
      </c>
      <c r="H13" s="270">
        <f t="shared" si="3"/>
        <v>-0.11786475975410859</v>
      </c>
      <c r="I13" s="261">
        <f t="shared" si="4"/>
        <v>-1879</v>
      </c>
      <c r="J13" s="259">
        <f t="shared" si="5"/>
        <v>3.902280654533144E-2</v>
      </c>
      <c r="K13" s="258">
        <v>12878</v>
      </c>
      <c r="L13" s="266">
        <f t="shared" si="6"/>
        <v>-8.4263670625044473E-2</v>
      </c>
      <c r="M13" s="265">
        <f t="shared" si="7"/>
        <v>-1185</v>
      </c>
      <c r="N13" s="264">
        <f t="shared" si="8"/>
        <v>3.4216420587242842E-2</v>
      </c>
      <c r="O13" s="258">
        <v>11476</v>
      </c>
      <c r="P13" s="266">
        <f t="shared" si="9"/>
        <v>-0.10886783662059329</v>
      </c>
      <c r="Q13" s="265">
        <f t="shared" si="10"/>
        <v>-1402</v>
      </c>
      <c r="R13" s="266">
        <f t="shared" si="1"/>
        <v>1.7593171435441213</v>
      </c>
      <c r="S13" s="265">
        <f t="shared" si="2"/>
        <v>7317</v>
      </c>
      <c r="T13" s="264">
        <f t="shared" si="11"/>
        <v>3.180577304158641E-2</v>
      </c>
      <c r="V13" s="29"/>
      <c r="W13" s="81"/>
      <c r="AE13" s="1"/>
    </row>
    <row r="14" spans="1:31" s="4" customFormat="1" x14ac:dyDescent="0.25">
      <c r="B14" s="241" t="s">
        <v>54</v>
      </c>
      <c r="C14" s="258">
        <v>5034</v>
      </c>
      <c r="D14" s="258">
        <v>4983</v>
      </c>
      <c r="E14" s="258">
        <v>6488</v>
      </c>
      <c r="F14" s="264">
        <f t="shared" si="0"/>
        <v>1.8247066632167484E-2</v>
      </c>
      <c r="G14" s="258">
        <v>5147</v>
      </c>
      <c r="H14" s="266">
        <f t="shared" si="3"/>
        <v>-0.20668927250308267</v>
      </c>
      <c r="I14" s="265">
        <f t="shared" si="4"/>
        <v>-1341</v>
      </c>
      <c r="J14" s="264">
        <f t="shared" si="5"/>
        <v>1.4282186253916015E-2</v>
      </c>
      <c r="K14" s="258">
        <v>6428</v>
      </c>
      <c r="L14" s="266">
        <f t="shared" si="6"/>
        <v>0.24888284437536434</v>
      </c>
      <c r="M14" s="265">
        <f t="shared" si="7"/>
        <v>1281</v>
      </c>
      <c r="N14" s="264">
        <f t="shared" si="8"/>
        <v>1.7078983656996193E-2</v>
      </c>
      <c r="O14" s="258">
        <v>8514</v>
      </c>
      <c r="P14" s="266">
        <f t="shared" si="9"/>
        <v>0.32451773490976965</v>
      </c>
      <c r="Q14" s="265">
        <f t="shared" si="10"/>
        <v>2086</v>
      </c>
      <c r="R14" s="266">
        <f t="shared" si="1"/>
        <v>0.69129916567342065</v>
      </c>
      <c r="S14" s="265">
        <f t="shared" si="2"/>
        <v>3480</v>
      </c>
      <c r="T14" s="264">
        <f t="shared" si="11"/>
        <v>2.3596579964801908E-2</v>
      </c>
      <c r="V14" s="29"/>
      <c r="W14" s="81"/>
      <c r="AE14" s="1"/>
    </row>
    <row r="15" spans="1:31" s="4" customFormat="1" x14ac:dyDescent="0.25">
      <c r="B15" s="241" t="s">
        <v>49</v>
      </c>
      <c r="C15" s="258">
        <v>474</v>
      </c>
      <c r="D15" s="258">
        <v>5175</v>
      </c>
      <c r="E15" s="258">
        <v>6064</v>
      </c>
      <c r="F15" s="259">
        <f t="shared" si="0"/>
        <v>1.7054594953369858E-2</v>
      </c>
      <c r="G15" s="258">
        <v>13110</v>
      </c>
      <c r="H15" s="270">
        <f t="shared" si="3"/>
        <v>1.1619393139841687</v>
      </c>
      <c r="I15" s="261">
        <f t="shared" si="4"/>
        <v>7046</v>
      </c>
      <c r="J15" s="259">
        <f t="shared" si="5"/>
        <v>3.6378368328898188E-2</v>
      </c>
      <c r="K15" s="258">
        <v>15532</v>
      </c>
      <c r="L15" s="266">
        <f t="shared" si="6"/>
        <v>0.184744469870328</v>
      </c>
      <c r="M15" s="265">
        <f t="shared" si="7"/>
        <v>2422</v>
      </c>
      <c r="N15" s="264">
        <f t="shared" si="8"/>
        <v>4.1268010914820297E-2</v>
      </c>
      <c r="O15" s="258">
        <v>13478</v>
      </c>
      <c r="P15" s="266">
        <f t="shared" si="9"/>
        <v>-0.13224311099665209</v>
      </c>
      <c r="Q15" s="265">
        <f t="shared" si="10"/>
        <v>-2054</v>
      </c>
      <c r="R15" s="266">
        <f t="shared" si="1"/>
        <v>27.434599156118143</v>
      </c>
      <c r="S15" s="265">
        <f t="shared" si="2"/>
        <v>13004</v>
      </c>
      <c r="T15" s="264">
        <f t="shared" si="11"/>
        <v>3.7354322852431301E-2</v>
      </c>
      <c r="V15" s="29"/>
      <c r="W15" s="81"/>
      <c r="AE15" s="1"/>
    </row>
    <row r="16" spans="1:31" s="4" customFormat="1" x14ac:dyDescent="0.25">
      <c r="B16" s="241" t="s">
        <v>211</v>
      </c>
      <c r="C16" s="258">
        <f>C6-SUM(C7:C15)</f>
        <v>2886</v>
      </c>
      <c r="D16" s="258">
        <f>D6-SUM(D7:D15)</f>
        <v>9641</v>
      </c>
      <c r="E16" s="258">
        <f>E6-SUM(E7:E15)</f>
        <v>10146</v>
      </c>
      <c r="F16" s="264">
        <f t="shared" si="0"/>
        <v>2.8534947295001743E-2</v>
      </c>
      <c r="G16" s="258">
        <f>G6-SUM(G7:G15)</f>
        <v>10515</v>
      </c>
      <c r="H16" s="266">
        <f t="shared" si="3"/>
        <v>3.6369012418687063E-2</v>
      </c>
      <c r="I16" s="265">
        <f t="shared" si="4"/>
        <v>369</v>
      </c>
      <c r="J16" s="264">
        <f t="shared" si="5"/>
        <v>2.9177615787823376E-2</v>
      </c>
      <c r="K16" s="258">
        <f>K6-SUM(K7:K15)</f>
        <v>11165</v>
      </c>
      <c r="L16" s="266">
        <f t="shared" si="6"/>
        <v>6.1816452686638046E-2</v>
      </c>
      <c r="M16" s="265">
        <f t="shared" si="7"/>
        <v>650</v>
      </c>
      <c r="N16" s="264">
        <f t="shared" si="8"/>
        <v>2.9665036174605242E-2</v>
      </c>
      <c r="O16" s="258">
        <f>O6-SUM(O7:O15)</f>
        <v>12518</v>
      </c>
      <c r="P16" s="266">
        <f t="shared" si="9"/>
        <v>0.12118226600985227</v>
      </c>
      <c r="Q16" s="265">
        <f t="shared" si="10"/>
        <v>1353</v>
      </c>
      <c r="R16" s="266">
        <f t="shared" si="1"/>
        <v>3.3374913374913371</v>
      </c>
      <c r="S16" s="265">
        <f t="shared" si="2"/>
        <v>9632</v>
      </c>
      <c r="T16" s="264">
        <f t="shared" si="11"/>
        <v>3.4693679586491694E-2</v>
      </c>
      <c r="V16" s="29"/>
      <c r="W16" s="81"/>
      <c r="AE16" s="1"/>
    </row>
    <row r="17" spans="2:31" s="4" customFormat="1" ht="7.5" customHeight="1" x14ac:dyDescent="0.25">
      <c r="B17" s="242"/>
      <c r="C17" s="242"/>
      <c r="D17" s="242"/>
      <c r="E17" s="242"/>
      <c r="F17" s="242"/>
      <c r="G17" s="242"/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AE17" s="1" t="s">
        <v>187</v>
      </c>
    </row>
    <row r="18" spans="2:31" s="4" customFormat="1" x14ac:dyDescent="0.25">
      <c r="B18" s="171" t="s">
        <v>188</v>
      </c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AE18" s="1" t="s">
        <v>189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273" t="s">
        <v>190</v>
      </c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85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89"/>
      <c r="D44" s="89"/>
      <c r="E44" s="89"/>
      <c r="F44" s="89"/>
      <c r="G44" s="89"/>
      <c r="H44" s="89"/>
      <c r="I44" s="89"/>
      <c r="J44" s="89"/>
      <c r="K44" s="14">
        <v>2020</v>
      </c>
      <c r="L44" s="14"/>
      <c r="M44" s="14"/>
      <c r="N44" s="14" t="s">
        <v>191</v>
      </c>
      <c r="O44" s="14">
        <v>2021</v>
      </c>
      <c r="P44" s="14" t="s">
        <v>191</v>
      </c>
      <c r="Q44" s="14" t="s">
        <v>192</v>
      </c>
      <c r="R44" s="14" t="s">
        <v>193</v>
      </c>
      <c r="S44" s="14" t="s">
        <v>194</v>
      </c>
      <c r="T44" s="89"/>
      <c r="AE44" s="1"/>
    </row>
    <row r="45" spans="2:31" s="4" customFormat="1" ht="18.75" hidden="1" x14ac:dyDescent="0.3">
      <c r="B45" s="230" t="s">
        <v>178</v>
      </c>
      <c r="C45" s="231"/>
      <c r="D45" s="231"/>
      <c r="E45" s="231"/>
      <c r="F45" s="231"/>
      <c r="G45" s="231"/>
      <c r="H45" s="231"/>
      <c r="I45" s="231"/>
      <c r="J45" s="231"/>
      <c r="K45" s="231">
        <v>1824653</v>
      </c>
      <c r="L45" s="231"/>
      <c r="M45" s="231"/>
      <c r="N45" s="232"/>
      <c r="O45" s="231">
        <v>2354005</v>
      </c>
      <c r="P45" s="232"/>
      <c r="Q45" s="232">
        <v>1</v>
      </c>
      <c r="R45" s="232">
        <v>0.2901110512519367</v>
      </c>
      <c r="S45" s="231">
        <v>529352</v>
      </c>
      <c r="T45" s="243"/>
      <c r="AE45" s="1"/>
    </row>
    <row r="46" spans="2:31" ht="18.75" hidden="1" x14ac:dyDescent="0.3">
      <c r="B46" s="230" t="s">
        <v>179</v>
      </c>
      <c r="C46" s="231"/>
      <c r="D46" s="231"/>
      <c r="E46" s="231"/>
      <c r="F46" s="231"/>
      <c r="G46" s="231"/>
      <c r="H46" s="231"/>
      <c r="I46" s="231"/>
      <c r="J46" s="231"/>
      <c r="K46" s="231">
        <v>603938</v>
      </c>
      <c r="L46" s="231"/>
      <c r="M46" s="231"/>
      <c r="N46" s="232">
        <v>1</v>
      </c>
      <c r="O46" s="231">
        <v>936181</v>
      </c>
      <c r="P46" s="232">
        <v>1</v>
      </c>
      <c r="Q46" s="232">
        <v>0.39769711619134201</v>
      </c>
      <c r="R46" s="232">
        <v>0.55012766211101138</v>
      </c>
      <c r="S46" s="231">
        <v>332243</v>
      </c>
      <c r="T46" s="243"/>
      <c r="AE46" s="1" t="s">
        <v>180</v>
      </c>
    </row>
    <row r="47" spans="2:31" ht="15.75" hidden="1" x14ac:dyDescent="0.25">
      <c r="B47" s="233" t="s">
        <v>105</v>
      </c>
      <c r="C47" s="234"/>
      <c r="D47" s="234"/>
      <c r="E47" s="234"/>
      <c r="F47" s="234"/>
      <c r="G47" s="234"/>
      <c r="H47" s="234"/>
      <c r="I47" s="234"/>
      <c r="J47" s="234"/>
      <c r="K47" s="234">
        <v>276550.36166633503</v>
      </c>
      <c r="L47" s="234"/>
      <c r="M47" s="234"/>
      <c r="N47" s="235">
        <v>0.45791184139155844</v>
      </c>
      <c r="O47" s="234">
        <v>430252.45635520399</v>
      </c>
      <c r="P47" s="235">
        <v>0.4595825554622493</v>
      </c>
      <c r="Q47" s="235">
        <v>0.18277465695918402</v>
      </c>
      <c r="R47" s="235">
        <v>0.55578337978930015</v>
      </c>
      <c r="S47" s="234">
        <v>153702.09468886897</v>
      </c>
      <c r="T47" s="244"/>
      <c r="AE47" s="1" t="s">
        <v>181</v>
      </c>
    </row>
    <row r="48" spans="2:31" s="4" customFormat="1" hidden="1" x14ac:dyDescent="0.25">
      <c r="B48" s="236" t="s">
        <v>108</v>
      </c>
      <c r="C48" s="237"/>
      <c r="D48" s="237"/>
      <c r="E48" s="237"/>
      <c r="F48" s="237"/>
      <c r="G48" s="237"/>
      <c r="H48" s="237"/>
      <c r="I48" s="237"/>
      <c r="J48" s="237"/>
      <c r="K48" s="237">
        <v>327387.63833385095</v>
      </c>
      <c r="L48" s="237"/>
      <c r="M48" s="237"/>
      <c r="N48" s="240">
        <v>0.54208815860874948</v>
      </c>
      <c r="O48" s="237">
        <v>505927.5436448183</v>
      </c>
      <c r="P48" s="240">
        <v>0.54041637636826456</v>
      </c>
      <c r="Q48" s="240">
        <v>0.21492203442423372</v>
      </c>
      <c r="R48" s="238">
        <v>0.54534711884540576</v>
      </c>
      <c r="S48" s="239">
        <v>178539.90531096736</v>
      </c>
      <c r="T48" s="246"/>
      <c r="AE48" s="1" t="s">
        <v>182</v>
      </c>
    </row>
    <row r="49" spans="2:31" s="4" customFormat="1" hidden="1" x14ac:dyDescent="0.25">
      <c r="B49" s="241" t="s">
        <v>183</v>
      </c>
      <c r="C49" s="29"/>
      <c r="D49" s="29"/>
      <c r="E49" s="29"/>
      <c r="F49" s="29"/>
      <c r="G49" s="29"/>
      <c r="H49" s="29"/>
      <c r="I49" s="29"/>
      <c r="J49" s="29"/>
      <c r="K49" s="29">
        <v>242109.12821622068</v>
      </c>
      <c r="L49" s="29"/>
      <c r="M49" s="29"/>
      <c r="N49" s="31">
        <v>0.4008840778626625</v>
      </c>
      <c r="O49" s="29">
        <v>391384.01224089495</v>
      </c>
      <c r="P49" s="31">
        <v>0.41806446855992052</v>
      </c>
      <c r="Q49" s="31">
        <v>0.16626303352834634</v>
      </c>
      <c r="R49" s="22">
        <v>0.61656033014732592</v>
      </c>
      <c r="S49" s="20">
        <v>149274.88402467428</v>
      </c>
      <c r="T49" s="20"/>
      <c r="AE49" s="1" t="s">
        <v>184</v>
      </c>
    </row>
    <row r="50" spans="2:31" s="4" customFormat="1" hidden="1" x14ac:dyDescent="0.25">
      <c r="B50" s="241" t="s">
        <v>185</v>
      </c>
      <c r="C50" s="29"/>
      <c r="D50" s="29"/>
      <c r="E50" s="29"/>
      <c r="F50" s="29"/>
      <c r="G50" s="29"/>
      <c r="H50" s="29"/>
      <c r="I50" s="29"/>
      <c r="J50" s="29"/>
      <c r="K50" s="29">
        <v>85278.510117630256</v>
      </c>
      <c r="L50" s="29"/>
      <c r="M50" s="29"/>
      <c r="N50" s="31">
        <v>0.14120408074608695</v>
      </c>
      <c r="O50" s="29">
        <v>114543.53140392336</v>
      </c>
      <c r="P50" s="31">
        <v>0.12235190780834407</v>
      </c>
      <c r="Q50" s="31">
        <v>4.8659000895887379E-2</v>
      </c>
      <c r="R50" s="22">
        <v>0.34316994100771625</v>
      </c>
      <c r="S50" s="20">
        <v>29265.021286293108</v>
      </c>
      <c r="T50" s="20"/>
      <c r="AE50" s="1" t="s">
        <v>186</v>
      </c>
    </row>
    <row r="51" spans="2:31" s="4" customFormat="1" ht="7.5" hidden="1" customHeight="1" x14ac:dyDescent="0.25">
      <c r="B51" s="242"/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2"/>
      <c r="N51" s="242"/>
      <c r="O51" s="242"/>
      <c r="P51" s="242"/>
      <c r="Q51" s="242"/>
      <c r="R51" s="242"/>
      <c r="S51" s="242"/>
      <c r="AE51" s="1" t="s">
        <v>187</v>
      </c>
    </row>
    <row r="52" spans="2:31" s="4" customFormat="1" hidden="1" x14ac:dyDescent="0.25">
      <c r="B52" s="291" t="s">
        <v>188</v>
      </c>
      <c r="C52" s="291"/>
      <c r="D52" s="291"/>
      <c r="E52" s="291"/>
      <c r="F52" s="291"/>
      <c r="G52" s="291"/>
      <c r="H52" s="291"/>
      <c r="I52" s="291"/>
      <c r="J52" s="291"/>
      <c r="K52" s="291"/>
      <c r="L52" s="291"/>
      <c r="M52" s="291"/>
      <c r="N52" s="291"/>
      <c r="O52" s="291"/>
      <c r="P52" s="291"/>
      <c r="Q52" s="291"/>
      <c r="R52" s="291"/>
      <c r="S52" s="291"/>
      <c r="T52" s="49"/>
      <c r="AE52" s="1" t="s">
        <v>189</v>
      </c>
    </row>
    <row r="53" spans="2:31" s="4" customFormat="1" hidden="1" x14ac:dyDescent="0.25">
      <c r="AE53" s="1"/>
    </row>
    <row r="54" spans="2:31" hidden="1" x14ac:dyDescent="0.25">
      <c r="C54" s="125"/>
      <c r="D54" s="125"/>
      <c r="E54" s="125"/>
      <c r="F54" s="125"/>
      <c r="G54" s="125"/>
      <c r="H54" s="125"/>
      <c r="I54" s="125"/>
      <c r="J54" s="125"/>
      <c r="K54" s="125">
        <v>0.54208815860874948</v>
      </c>
      <c r="L54" s="125"/>
      <c r="M54" s="125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66" t="s">
        <v>213</v>
      </c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185">
        <v>2021</v>
      </c>
      <c r="D135" s="185">
        <v>2022</v>
      </c>
      <c r="E135" s="185">
        <v>2023</v>
      </c>
      <c r="F135" s="185">
        <v>2024</v>
      </c>
      <c r="G135" s="173" t="str">
        <f>CONCATENATE("var. ",RIGHT(F135,2),"/",RIGHT(E135,2))</f>
        <v>var. 24/23</v>
      </c>
      <c r="H135" s="173" t="str">
        <f>CONCATENATE("dif. ",RIGHT(F135,2),"/",RIGHT(E135,2))</f>
        <v>dif. 24/23</v>
      </c>
      <c r="I135" s="173" t="str">
        <f>CONCATENATE("%/s total Península ",RIGHT(F135,4))</f>
        <v>%/s total Península 2024</v>
      </c>
      <c r="J135" s="185">
        <v>2025</v>
      </c>
      <c r="K135" s="173" t="str">
        <f>CONCATENATE("%/s total España ",RIGHT(J135,4))</f>
        <v>%/s total España 2025</v>
      </c>
      <c r="L135" s="173" t="str">
        <f>CONCATENATE("var. ",RIGHT(J135,2),"/",RIGHT(F135,2))</f>
        <v>var. 25/24</v>
      </c>
      <c r="M135" s="173" t="str">
        <f>CONCATENATE("dif. ",RIGHT(J135,2),"/",RIGHT(F135,2))</f>
        <v>dif. 25/24</v>
      </c>
      <c r="N135" s="173" t="str">
        <f>CONCATENATE("var. ",RIGHT(J135,2),"/",RIGHT(C135,2))</f>
        <v>var. 25/21</v>
      </c>
      <c r="O135" s="173" t="str">
        <f>CONCATENATE("dif. ",RIGHT(J135,2),"/",RIGHT(C135,2))</f>
        <v>dif. 25/21</v>
      </c>
      <c r="Z135" s="1"/>
    </row>
    <row r="136" spans="1:31" ht="18.75" x14ac:dyDescent="0.3">
      <c r="A136" s="4"/>
      <c r="B136" s="230" t="s">
        <v>210</v>
      </c>
      <c r="C136" s="234">
        <v>384253</v>
      </c>
      <c r="D136" s="234">
        <v>593573</v>
      </c>
      <c r="E136" s="234">
        <v>612402</v>
      </c>
      <c r="F136" s="234">
        <v>637010</v>
      </c>
      <c r="G136" s="235">
        <f>F136/E136-1</f>
        <v>4.0182755771535739E-2</v>
      </c>
      <c r="H136" s="234">
        <f>F136-E136</f>
        <v>24608</v>
      </c>
      <c r="I136" s="235">
        <f>F136/F$136</f>
        <v>1</v>
      </c>
      <c r="J136" s="234">
        <v>644247</v>
      </c>
      <c r="K136" s="235">
        <f>H136/H$136</f>
        <v>1</v>
      </c>
      <c r="L136" s="235">
        <f>J136/F136-1</f>
        <v>1.1360889154016451E-2</v>
      </c>
      <c r="M136" s="234">
        <f>J136-F136</f>
        <v>7237</v>
      </c>
      <c r="N136" s="235">
        <f>J136/C136-1</f>
        <v>0.6766219131665856</v>
      </c>
      <c r="O136" s="234">
        <f>J136-C136</f>
        <v>259994</v>
      </c>
      <c r="Q136" s="29"/>
      <c r="R136" s="81"/>
      <c r="Z136" s="1" t="s">
        <v>180</v>
      </c>
      <c r="AE136"/>
    </row>
    <row r="137" spans="1:31" s="4" customFormat="1" x14ac:dyDescent="0.25">
      <c r="B137" s="241" t="s">
        <v>46</v>
      </c>
      <c r="C137" s="258">
        <v>120918</v>
      </c>
      <c r="D137" s="258">
        <v>120397</v>
      </c>
      <c r="E137" s="258">
        <v>106339</v>
      </c>
      <c r="F137" s="258">
        <v>101169</v>
      </c>
      <c r="G137" s="264">
        <f t="shared" ref="G137:G146" si="12">F137/E137-1</f>
        <v>-4.8618098722011727E-2</v>
      </c>
      <c r="H137" s="271">
        <f t="shared" ref="H137:H146" si="13">F137-E137</f>
        <v>-5170</v>
      </c>
      <c r="I137" s="266">
        <f t="shared" ref="I137:K146" si="14">F137/F$136</f>
        <v>0.15881854288001759</v>
      </c>
      <c r="J137" s="258">
        <v>80536</v>
      </c>
      <c r="K137" s="266">
        <f t="shared" si="14"/>
        <v>-0.21009427828348504</v>
      </c>
      <c r="L137" s="266">
        <f t="shared" ref="L137:L146" si="15">J137/F137-1</f>
        <v>-0.2039458727475808</v>
      </c>
      <c r="M137" s="265">
        <f t="shared" ref="M137:M146" si="16">J137-F137</f>
        <v>-20633</v>
      </c>
      <c r="N137" s="264">
        <f t="shared" ref="N137:N145" si="17">J137/C137-1</f>
        <v>-0.33396185844952775</v>
      </c>
      <c r="O137" s="258">
        <f t="shared" ref="O137:O146" si="18">J137-C137</f>
        <v>-40382</v>
      </c>
      <c r="Q137" s="29"/>
      <c r="R137" s="81"/>
      <c r="Z137" s="1" t="s">
        <v>182</v>
      </c>
    </row>
    <row r="138" spans="1:31" s="4" customFormat="1" x14ac:dyDescent="0.25">
      <c r="B138" s="241" t="s">
        <v>47</v>
      </c>
      <c r="C138" s="258">
        <v>39986</v>
      </c>
      <c r="D138" s="258">
        <v>75857</v>
      </c>
      <c r="E138" s="258">
        <v>66877</v>
      </c>
      <c r="F138" s="258">
        <v>64410</v>
      </c>
      <c r="G138" s="264">
        <f t="shared" si="12"/>
        <v>-3.6888616415210018E-2</v>
      </c>
      <c r="H138" s="271">
        <f t="shared" si="13"/>
        <v>-2467</v>
      </c>
      <c r="I138" s="266">
        <f t="shared" si="14"/>
        <v>0.10111301235459412</v>
      </c>
      <c r="J138" s="258">
        <v>66849</v>
      </c>
      <c r="K138" s="266">
        <f t="shared" si="14"/>
        <v>-0.10025195058517555</v>
      </c>
      <c r="L138" s="266">
        <f t="shared" si="15"/>
        <v>3.7866790870982658E-2</v>
      </c>
      <c r="M138" s="265">
        <f t="shared" si="16"/>
        <v>2439</v>
      </c>
      <c r="N138" s="264">
        <f t="shared" si="17"/>
        <v>0.67181013354674146</v>
      </c>
      <c r="O138" s="258">
        <f t="shared" si="18"/>
        <v>26863</v>
      </c>
      <c r="Q138" s="29"/>
      <c r="R138" s="81"/>
      <c r="Z138" s="1"/>
    </row>
    <row r="139" spans="1:31" s="4" customFormat="1" x14ac:dyDescent="0.25">
      <c r="B139" s="241" t="s">
        <v>48</v>
      </c>
      <c r="C139" s="258">
        <v>2535</v>
      </c>
      <c r="D139" s="258">
        <v>3247</v>
      </c>
      <c r="E139" s="258">
        <v>5439</v>
      </c>
      <c r="F139" s="258">
        <v>4225</v>
      </c>
      <c r="G139" s="264">
        <f t="shared" si="12"/>
        <v>-0.22320279463136605</v>
      </c>
      <c r="H139" s="272">
        <f t="shared" si="13"/>
        <v>-1214</v>
      </c>
      <c r="I139" s="270">
        <f t="shared" si="14"/>
        <v>6.6325489395770865E-3</v>
      </c>
      <c r="J139" s="258">
        <v>4151</v>
      </c>
      <c r="K139" s="270">
        <f t="shared" si="14"/>
        <v>-4.9333550065019507E-2</v>
      </c>
      <c r="L139" s="266">
        <f t="shared" si="15"/>
        <v>-1.7514792899408271E-2</v>
      </c>
      <c r="M139" s="265">
        <f t="shared" si="16"/>
        <v>-74</v>
      </c>
      <c r="N139" s="264">
        <f t="shared" si="17"/>
        <v>0.63747534516765292</v>
      </c>
      <c r="O139" s="258">
        <f t="shared" si="18"/>
        <v>1616</v>
      </c>
      <c r="Q139" s="29"/>
      <c r="R139" s="81"/>
      <c r="Z139" s="1"/>
    </row>
    <row r="140" spans="1:31" s="4" customFormat="1" x14ac:dyDescent="0.25">
      <c r="B140" s="241" t="s">
        <v>50</v>
      </c>
      <c r="C140" s="258">
        <v>114704</v>
      </c>
      <c r="D140" s="258">
        <v>244952</v>
      </c>
      <c r="E140" s="258">
        <v>250432</v>
      </c>
      <c r="F140" s="258">
        <v>276037</v>
      </c>
      <c r="G140" s="264">
        <f t="shared" si="12"/>
        <v>0.10224332353692822</v>
      </c>
      <c r="H140" s="271">
        <f t="shared" si="13"/>
        <v>25605</v>
      </c>
      <c r="I140" s="266">
        <f t="shared" si="14"/>
        <v>0.43333228677728763</v>
      </c>
      <c r="J140" s="258">
        <v>294370</v>
      </c>
      <c r="K140" s="266">
        <f t="shared" si="14"/>
        <v>1.0405152795838752</v>
      </c>
      <c r="L140" s="266">
        <f t="shared" si="15"/>
        <v>6.6415009582048823E-2</v>
      </c>
      <c r="M140" s="265">
        <f t="shared" si="16"/>
        <v>18333</v>
      </c>
      <c r="N140" s="264">
        <f t="shared" si="17"/>
        <v>1.5663446784767752</v>
      </c>
      <c r="O140" s="258">
        <f t="shared" si="18"/>
        <v>179666</v>
      </c>
      <c r="Q140" s="29"/>
      <c r="R140" s="81"/>
      <c r="Z140" s="1"/>
    </row>
    <row r="141" spans="1:31" s="4" customFormat="1" x14ac:dyDescent="0.25">
      <c r="B141" s="241" t="s">
        <v>52</v>
      </c>
      <c r="C141" s="258">
        <v>20278</v>
      </c>
      <c r="D141" s="258">
        <v>32271</v>
      </c>
      <c r="E141" s="258">
        <v>36164</v>
      </c>
      <c r="F141" s="258">
        <v>33708</v>
      </c>
      <c r="G141" s="264">
        <f t="shared" si="12"/>
        <v>-6.791284149983412E-2</v>
      </c>
      <c r="H141" s="272">
        <f t="shared" si="13"/>
        <v>-2456</v>
      </c>
      <c r="I141" s="270">
        <f t="shared" si="14"/>
        <v>5.2915966782311107E-2</v>
      </c>
      <c r="J141" s="258">
        <v>31636</v>
      </c>
      <c r="K141" s="270">
        <f t="shared" si="14"/>
        <v>-9.9804941482444731E-2</v>
      </c>
      <c r="L141" s="266">
        <f t="shared" si="15"/>
        <v>-6.146908745698354E-2</v>
      </c>
      <c r="M141" s="265">
        <f t="shared" si="16"/>
        <v>-2072</v>
      </c>
      <c r="N141" s="264">
        <f t="shared" si="17"/>
        <v>0.56011440970509918</v>
      </c>
      <c r="O141" s="258">
        <f t="shared" si="18"/>
        <v>11358</v>
      </c>
      <c r="Q141" s="29"/>
      <c r="R141" s="81"/>
      <c r="Z141" s="1"/>
    </row>
    <row r="142" spans="1:31" s="4" customFormat="1" x14ac:dyDescent="0.25">
      <c r="B142" s="241" t="s">
        <v>53</v>
      </c>
      <c r="C142" s="258">
        <v>51310</v>
      </c>
      <c r="D142" s="258">
        <v>65021</v>
      </c>
      <c r="E142" s="258">
        <v>80189</v>
      </c>
      <c r="F142" s="258">
        <v>80800</v>
      </c>
      <c r="G142" s="264">
        <f t="shared" si="12"/>
        <v>7.6194989337690089E-3</v>
      </c>
      <c r="H142" s="271">
        <f t="shared" si="13"/>
        <v>611</v>
      </c>
      <c r="I142" s="266">
        <f t="shared" si="14"/>
        <v>0.1268425927379476</v>
      </c>
      <c r="J142" s="258">
        <v>84941</v>
      </c>
      <c r="K142" s="266">
        <f t="shared" si="14"/>
        <v>2.4829323797139143E-2</v>
      </c>
      <c r="L142" s="266">
        <f t="shared" si="15"/>
        <v>5.1250000000000018E-2</v>
      </c>
      <c r="M142" s="265">
        <f t="shared" si="16"/>
        <v>4141</v>
      </c>
      <c r="N142" s="264">
        <f t="shared" si="17"/>
        <v>0.65544728123172868</v>
      </c>
      <c r="O142" s="258">
        <f t="shared" si="18"/>
        <v>33631</v>
      </c>
      <c r="Q142" s="29"/>
      <c r="R142" s="81"/>
      <c r="Z142" s="1"/>
    </row>
    <row r="143" spans="1:31" s="4" customFormat="1" x14ac:dyDescent="0.25">
      <c r="B143" s="241" t="s">
        <v>51</v>
      </c>
      <c r="C143" s="258">
        <v>10731</v>
      </c>
      <c r="D143" s="258">
        <v>17520</v>
      </c>
      <c r="E143" s="258">
        <v>25698</v>
      </c>
      <c r="F143" s="258">
        <v>23944</v>
      </c>
      <c r="G143" s="264">
        <f t="shared" si="12"/>
        <v>-6.8254338859055186E-2</v>
      </c>
      <c r="H143" s="272">
        <f t="shared" si="13"/>
        <v>-1754</v>
      </c>
      <c r="I143" s="270">
        <f t="shared" si="14"/>
        <v>3.758810693709675E-2</v>
      </c>
      <c r="J143" s="258">
        <v>21878</v>
      </c>
      <c r="K143" s="270">
        <f t="shared" si="14"/>
        <v>-7.1277633289987E-2</v>
      </c>
      <c r="L143" s="266">
        <f t="shared" si="15"/>
        <v>-8.6284664216505158E-2</v>
      </c>
      <c r="M143" s="265">
        <f t="shared" si="16"/>
        <v>-2066</v>
      </c>
      <c r="N143" s="264">
        <f t="shared" si="17"/>
        <v>1.0387661914080701</v>
      </c>
      <c r="O143" s="258">
        <f t="shared" si="18"/>
        <v>11147</v>
      </c>
      <c r="Q143" s="29"/>
      <c r="R143" s="81"/>
      <c r="Z143" s="1"/>
    </row>
    <row r="144" spans="1:31" s="4" customFormat="1" x14ac:dyDescent="0.25">
      <c r="B144" s="241" t="s">
        <v>54</v>
      </c>
      <c r="C144" s="258">
        <v>11021</v>
      </c>
      <c r="D144" s="258">
        <v>9118</v>
      </c>
      <c r="E144" s="258">
        <v>11319</v>
      </c>
      <c r="F144" s="258">
        <v>10833</v>
      </c>
      <c r="G144" s="264">
        <f t="shared" si="12"/>
        <v>-4.2936655181553096E-2</v>
      </c>
      <c r="H144" s="271">
        <f t="shared" si="13"/>
        <v>-486</v>
      </c>
      <c r="I144" s="266">
        <f t="shared" si="14"/>
        <v>1.7006012464482505E-2</v>
      </c>
      <c r="J144" s="258">
        <v>13384</v>
      </c>
      <c r="K144" s="266">
        <f t="shared" si="14"/>
        <v>-1.9749674902470742E-2</v>
      </c>
      <c r="L144" s="266">
        <f t="shared" si="15"/>
        <v>0.23548416874365374</v>
      </c>
      <c r="M144" s="265">
        <f t="shared" si="16"/>
        <v>2551</v>
      </c>
      <c r="N144" s="264">
        <f t="shared" si="17"/>
        <v>0.21440885582070601</v>
      </c>
      <c r="O144" s="258">
        <f t="shared" si="18"/>
        <v>2363</v>
      </c>
      <c r="Q144" s="29"/>
      <c r="R144" s="81"/>
      <c r="Z144" s="1"/>
    </row>
    <row r="145" spans="2:31" s="4" customFormat="1" x14ac:dyDescent="0.25">
      <c r="B145" s="241" t="s">
        <v>49</v>
      </c>
      <c r="C145" s="258">
        <v>4744</v>
      </c>
      <c r="D145" s="258">
        <v>9037</v>
      </c>
      <c r="E145" s="258">
        <v>14448</v>
      </c>
      <c r="F145" s="258">
        <v>23750</v>
      </c>
      <c r="G145" s="264">
        <f t="shared" si="12"/>
        <v>0.64382613510520481</v>
      </c>
      <c r="H145" s="272">
        <f t="shared" si="13"/>
        <v>9302</v>
      </c>
      <c r="I145" s="270">
        <f t="shared" si="14"/>
        <v>3.7283559127800195E-2</v>
      </c>
      <c r="J145" s="258">
        <v>26454</v>
      </c>
      <c r="K145" s="270">
        <f t="shared" si="14"/>
        <v>0.37800715214564368</v>
      </c>
      <c r="L145" s="266">
        <f t="shared" si="15"/>
        <v>0.11385263157894743</v>
      </c>
      <c r="M145" s="265">
        <f t="shared" si="16"/>
        <v>2704</v>
      </c>
      <c r="N145" s="264">
        <f t="shared" si="17"/>
        <v>4.5763069139966275</v>
      </c>
      <c r="O145" s="258">
        <f t="shared" si="18"/>
        <v>21710</v>
      </c>
      <c r="Q145" s="29"/>
      <c r="R145" s="81"/>
      <c r="Z145" s="1"/>
    </row>
    <row r="146" spans="2:31" s="4" customFormat="1" x14ac:dyDescent="0.25">
      <c r="B146" s="241" t="s">
        <v>211</v>
      </c>
      <c r="C146" s="258">
        <f>C136-SUM(C137:C145)</f>
        <v>8026</v>
      </c>
      <c r="D146" s="258">
        <f>D136-SUM(D137:D145)</f>
        <v>16153</v>
      </c>
      <c r="E146" s="258">
        <f>E136-SUM(E137:E145)</f>
        <v>15497</v>
      </c>
      <c r="F146" s="258">
        <f>F136-SUM(F137:F145)</f>
        <v>18134</v>
      </c>
      <c r="G146" s="264">
        <f t="shared" si="12"/>
        <v>0.17016196683229001</v>
      </c>
      <c r="H146" s="271">
        <f t="shared" si="13"/>
        <v>2637</v>
      </c>
      <c r="I146" s="266">
        <f t="shared" si="14"/>
        <v>2.8467370998885418E-2</v>
      </c>
      <c r="J146" s="258">
        <f>J136-SUM(J137:J145)</f>
        <v>20048</v>
      </c>
      <c r="K146" s="266">
        <f t="shared" si="14"/>
        <v>0.10716027308192458</v>
      </c>
      <c r="L146" s="266">
        <f t="shared" si="15"/>
        <v>0.10554759016212634</v>
      </c>
      <c r="M146" s="265">
        <f t="shared" si="16"/>
        <v>1914</v>
      </c>
      <c r="N146" s="264">
        <f>J146/C146-1</f>
        <v>1.4978818838773984</v>
      </c>
      <c r="O146" s="258">
        <f t="shared" si="18"/>
        <v>12022</v>
      </c>
      <c r="Q146" s="29"/>
      <c r="R146" s="81"/>
      <c r="Z146" s="1"/>
    </row>
    <row r="147" spans="2:31" s="4" customFormat="1" ht="7.5" customHeight="1" x14ac:dyDescent="0.25"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Z147" s="1" t="s">
        <v>187</v>
      </c>
    </row>
    <row r="148" spans="2:31" s="4" customFormat="1" x14ac:dyDescent="0.25">
      <c r="B148" s="171" t="s">
        <v>188</v>
      </c>
      <c r="C148" s="171"/>
      <c r="D148" s="171"/>
      <c r="E148" s="171"/>
      <c r="F148" s="171"/>
      <c r="G148" s="171"/>
      <c r="H148" s="171"/>
      <c r="I148" s="171"/>
      <c r="J148" s="171"/>
      <c r="K148" s="171"/>
      <c r="L148" s="171"/>
      <c r="M148" s="171"/>
      <c r="N148" s="171"/>
      <c r="O148" s="171"/>
      <c r="Z148" s="1" t="s">
        <v>189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D8D86-6BA7-488D-98C9-65A52825A96B}">
  <sheetPr>
    <tabColor theme="4" tint="0.39997558519241921"/>
  </sheetPr>
  <dimension ref="A1:AE149"/>
  <sheetViews>
    <sheetView showGridLines="0" zoomScaleNormal="100" workbookViewId="0"/>
  </sheetViews>
  <sheetFormatPr baseColWidth="10" defaultRowHeight="15" x14ac:dyDescent="0.25"/>
  <cols>
    <col min="1" max="1" width="17.7109375" customWidth="1"/>
    <col min="2" max="2" width="33.5703125" customWidth="1"/>
    <col min="3" max="13" width="14.7109375" customWidth="1"/>
    <col min="14" max="14" width="11.42578125" customWidth="1"/>
    <col min="15" max="15" width="14.7109375" customWidth="1"/>
    <col min="27" max="27" width="14" customWidth="1"/>
    <col min="31" max="31" width="11.42578125" style="1"/>
  </cols>
  <sheetData>
    <row r="1" spans="1:31" ht="30" customHeight="1" x14ac:dyDescent="0.25">
      <c r="B1" s="1" t="s">
        <v>214</v>
      </c>
      <c r="G1" s="229"/>
      <c r="H1" s="229"/>
      <c r="I1" s="229"/>
      <c r="K1" s="229"/>
    </row>
    <row r="3" spans="1:31" s="4" customFormat="1" ht="25.5" customHeight="1" thickBot="1" x14ac:dyDescent="0.3">
      <c r="B3" s="66" t="s">
        <v>215</v>
      </c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AE3" s="1"/>
    </row>
    <row r="4" spans="1:31" s="4" customFormat="1" ht="6" customHeight="1" x14ac:dyDescent="0.25">
      <c r="AE4" s="1"/>
    </row>
    <row r="5" spans="1:31" s="4" customFormat="1" ht="45" x14ac:dyDescent="0.25">
      <c r="C5" s="247" t="s">
        <v>270</v>
      </c>
      <c r="D5" s="247" t="s">
        <v>271</v>
      </c>
      <c r="E5" s="247" t="s">
        <v>272</v>
      </c>
      <c r="F5" s="248" t="str">
        <f>CONCATENATE("%/s total Tenerife ",RIGHT(E5,4))</f>
        <v>%/s total Tenerife 2023</v>
      </c>
      <c r="G5" s="247" t="s">
        <v>273</v>
      </c>
      <c r="H5" s="248" t="str">
        <f>CONCATENATE("var. ",RIGHT(G5,2),"/",RIGHT(E5,2))</f>
        <v>var. 24/23</v>
      </c>
      <c r="I5" s="248" t="str">
        <f>CONCATENATE("dif. ",RIGHT(G5,2),"/",RIGHT(E5,2))</f>
        <v>dif. 24/23</v>
      </c>
      <c r="J5" s="248" t="str">
        <f>CONCATENATE("%/s total Tenerife ",RIGHT(G5,4))</f>
        <v>%/s total Tenerife 2024</v>
      </c>
      <c r="K5" s="247" t="s">
        <v>274</v>
      </c>
      <c r="L5" s="248" t="str">
        <f>CONCATENATE("var. ",RIGHT(K5,2),"/",RIGHT(G5,2))</f>
        <v>var. 25/24</v>
      </c>
      <c r="M5" s="248" t="str">
        <f>CONCATENATE("dif. ",RIGHT(K5,2),"/",RIGHT(G5,2))</f>
        <v>dif. 25/24</v>
      </c>
      <c r="N5" s="248" t="str">
        <f>CONCATENATE("%/s total Tenerife ",RIGHT(K5,4))</f>
        <v>%/s total Tenerife 2025</v>
      </c>
      <c r="O5" s="247" t="s">
        <v>275</v>
      </c>
      <c r="P5" s="248" t="str">
        <f>CONCATENATE("var. ",RIGHT(O5,2),"/",RIGHT(K5,2))</f>
        <v>var. 26/25</v>
      </c>
      <c r="Q5" s="248" t="str">
        <f>CONCATENATE("dif. ",RIGHT(O5,2),"/",RIGHT(K5,2))</f>
        <v>dif. 26/25</v>
      </c>
      <c r="R5" s="248" t="str">
        <f>CONCATENATE("var. ",RIGHT(O5,2),"/",RIGHT(C5,2))</f>
        <v>var. 26/21</v>
      </c>
      <c r="S5" s="248" t="str">
        <f>CONCATENATE("dif. ",RIGHT(O5,2),"/",RIGHT(C5,2))</f>
        <v>dif. 26/21</v>
      </c>
      <c r="T5" s="248" t="str">
        <f>CONCATENATE("%/s total Tenerife ",RIGHT(O5,4))</f>
        <v>%/s total Tenerife 2026</v>
      </c>
      <c r="AE5" s="1"/>
    </row>
    <row r="6" spans="1:31" ht="18.75" x14ac:dyDescent="0.3">
      <c r="A6" s="4"/>
      <c r="B6" s="230" t="s">
        <v>210</v>
      </c>
      <c r="C6" s="249">
        <v>229473</v>
      </c>
      <c r="D6" s="249">
        <v>253134</v>
      </c>
      <c r="E6" s="249">
        <v>256518</v>
      </c>
      <c r="F6" s="250">
        <f>E6/$E$6</f>
        <v>1</v>
      </c>
      <c r="G6" s="249">
        <v>242968</v>
      </c>
      <c r="H6" s="250">
        <f>G6/E6-1</f>
        <v>-5.2822803857818901E-2</v>
      </c>
      <c r="I6" s="249">
        <f>G6-E6</f>
        <v>-13550</v>
      </c>
      <c r="J6" s="250">
        <f>G6/$G$6</f>
        <v>1</v>
      </c>
      <c r="K6" s="249">
        <v>231301</v>
      </c>
      <c r="L6" s="250">
        <f>K6/G6-1</f>
        <v>-4.8018669125152291E-2</v>
      </c>
      <c r="M6" s="249">
        <f>K6-G6</f>
        <v>-11667</v>
      </c>
      <c r="N6" s="250">
        <f>K6/$K$6</f>
        <v>1</v>
      </c>
      <c r="O6" s="249">
        <v>272586</v>
      </c>
      <c r="P6" s="250">
        <f>O6/K6-1</f>
        <v>0.17849036536807028</v>
      </c>
      <c r="Q6" s="249">
        <f>O6-K6</f>
        <v>41285</v>
      </c>
      <c r="R6" s="250">
        <f>IFERROR(O6/C6-1,"-")</f>
        <v>0.1878783124812069</v>
      </c>
      <c r="S6" s="249">
        <f>O6-C6</f>
        <v>43113</v>
      </c>
      <c r="T6" s="250">
        <f>O6/$O$6</f>
        <v>1</v>
      </c>
      <c r="V6" s="29"/>
      <c r="W6" s="81"/>
      <c r="AE6" s="1" t="s">
        <v>180</v>
      </c>
    </row>
    <row r="7" spans="1:31" s="4" customFormat="1" x14ac:dyDescent="0.25">
      <c r="B7" s="241" t="s">
        <v>46</v>
      </c>
      <c r="C7" s="258">
        <v>79916</v>
      </c>
      <c r="D7" s="258">
        <v>52433</v>
      </c>
      <c r="E7" s="258">
        <v>44217</v>
      </c>
      <c r="F7" s="264">
        <f t="shared" ref="F7:F16" si="0">E7/$E$6</f>
        <v>0.17237386850045611</v>
      </c>
      <c r="G7" s="258">
        <v>34334</v>
      </c>
      <c r="H7" s="266">
        <f>G7/E7-1</f>
        <v>-0.22351131917588263</v>
      </c>
      <c r="I7" s="265">
        <f>G7-E7</f>
        <v>-9883</v>
      </c>
      <c r="J7" s="264">
        <f>G7/$G$6</f>
        <v>0.14131078989825821</v>
      </c>
      <c r="K7" s="258">
        <v>35688</v>
      </c>
      <c r="L7" s="266">
        <f>K7/G7-1</f>
        <v>3.9436127453835956E-2</v>
      </c>
      <c r="M7" s="265">
        <f>K7-G7</f>
        <v>1354</v>
      </c>
      <c r="N7" s="264">
        <f>K7/$K$6</f>
        <v>0.1542924587442337</v>
      </c>
      <c r="O7" s="258">
        <v>39706</v>
      </c>
      <c r="P7" s="266">
        <f>O7/K7-1</f>
        <v>0.11258686393185391</v>
      </c>
      <c r="Q7" s="265">
        <f>O7-K7</f>
        <v>4018</v>
      </c>
      <c r="R7" s="266">
        <f t="shared" ref="R7:R16" si="1">IFERROR(O7/C7-1,"-")</f>
        <v>-0.50315331097652538</v>
      </c>
      <c r="S7" s="265">
        <f t="shared" ref="S7:S16" si="2">O7-C7</f>
        <v>-40210</v>
      </c>
      <c r="T7" s="264">
        <f>O7/$O$6</f>
        <v>0.14566412068117951</v>
      </c>
      <c r="V7" s="29"/>
      <c r="W7" s="81"/>
      <c r="AE7" s="1" t="s">
        <v>182</v>
      </c>
    </row>
    <row r="8" spans="1:31" s="4" customFormat="1" x14ac:dyDescent="0.25">
      <c r="B8" s="241" t="s">
        <v>47</v>
      </c>
      <c r="C8" s="258">
        <v>28769</v>
      </c>
      <c r="D8" s="258">
        <v>29124</v>
      </c>
      <c r="E8" s="258">
        <v>27631</v>
      </c>
      <c r="F8" s="264">
        <f t="shared" si="0"/>
        <v>0.10771563788895906</v>
      </c>
      <c r="G8" s="258">
        <v>26999</v>
      </c>
      <c r="H8" s="266">
        <f t="shared" ref="H8:H16" si="3">G8/E8-1</f>
        <v>-2.287286019326118E-2</v>
      </c>
      <c r="I8" s="265">
        <f t="shared" ref="I8:I16" si="4">G8-E8</f>
        <v>-632</v>
      </c>
      <c r="J8" s="264">
        <f t="shared" ref="J8:J16" si="5">G8/$G$6</f>
        <v>0.1111216291857364</v>
      </c>
      <c r="K8" s="258">
        <v>26524</v>
      </c>
      <c r="L8" s="266">
        <f t="shared" ref="L8:L16" si="6">K8/G8-1</f>
        <v>-1.7593244194229363E-2</v>
      </c>
      <c r="M8" s="265">
        <f t="shared" ref="M8:M16" si="7">K8-G8</f>
        <v>-475</v>
      </c>
      <c r="N8" s="264">
        <f t="shared" ref="N8:N16" si="8">K8/$K$6</f>
        <v>0.11467308831349626</v>
      </c>
      <c r="O8" s="258">
        <v>38161</v>
      </c>
      <c r="P8" s="266">
        <f t="shared" ref="P8:P16" si="9">O8/K8-1</f>
        <v>0.43873473080983261</v>
      </c>
      <c r="Q8" s="265">
        <f t="shared" ref="Q8:Q16" si="10">O8-K8</f>
        <v>11637</v>
      </c>
      <c r="R8" s="266">
        <f t="shared" si="1"/>
        <v>0.32646251173137752</v>
      </c>
      <c r="S8" s="265">
        <f t="shared" si="2"/>
        <v>9392</v>
      </c>
      <c r="T8" s="264">
        <f t="shared" ref="T8:T16" si="11">O8/$O$6</f>
        <v>0.13999618469033626</v>
      </c>
      <c r="V8" s="29"/>
      <c r="W8" s="81"/>
      <c r="AE8" s="1"/>
    </row>
    <row r="9" spans="1:31" s="4" customFormat="1" x14ac:dyDescent="0.25">
      <c r="B9" s="241" t="s">
        <v>48</v>
      </c>
      <c r="C9" s="258">
        <v>1161</v>
      </c>
      <c r="D9" s="258">
        <v>1046</v>
      </c>
      <c r="E9" s="258">
        <v>10053</v>
      </c>
      <c r="F9" s="259">
        <f t="shared" si="0"/>
        <v>3.9190232264402498E-2</v>
      </c>
      <c r="G9" s="258">
        <v>5394</v>
      </c>
      <c r="H9" s="270">
        <f t="shared" si="3"/>
        <v>-0.46344374813488509</v>
      </c>
      <c r="I9" s="261">
        <f t="shared" si="4"/>
        <v>-4659</v>
      </c>
      <c r="J9" s="259">
        <f t="shared" si="5"/>
        <v>2.2200454380823811E-2</v>
      </c>
      <c r="K9" s="258">
        <v>2885</v>
      </c>
      <c r="L9" s="266">
        <f t="shared" si="6"/>
        <v>-0.46514645902855023</v>
      </c>
      <c r="M9" s="265">
        <f t="shared" si="7"/>
        <v>-2509</v>
      </c>
      <c r="N9" s="264">
        <f t="shared" si="8"/>
        <v>1.2472924890078296E-2</v>
      </c>
      <c r="O9" s="258">
        <v>4983</v>
      </c>
      <c r="P9" s="266">
        <f t="shared" si="9"/>
        <v>0.72720970537261698</v>
      </c>
      <c r="Q9" s="265">
        <f t="shared" si="10"/>
        <v>2098</v>
      </c>
      <c r="R9" s="266">
        <f t="shared" si="1"/>
        <v>3.2919896640826876</v>
      </c>
      <c r="S9" s="265">
        <f t="shared" si="2"/>
        <v>3822</v>
      </c>
      <c r="T9" s="264">
        <f t="shared" si="11"/>
        <v>1.828046928308864E-2</v>
      </c>
      <c r="V9" s="29"/>
      <c r="W9" s="81"/>
      <c r="AE9" s="1"/>
    </row>
    <row r="10" spans="1:31" s="4" customFormat="1" x14ac:dyDescent="0.25">
      <c r="B10" s="241" t="s">
        <v>50</v>
      </c>
      <c r="C10" s="258">
        <v>27671</v>
      </c>
      <c r="D10" s="258">
        <v>57851</v>
      </c>
      <c r="E10" s="258">
        <v>56615</v>
      </c>
      <c r="F10" s="264">
        <f t="shared" si="0"/>
        <v>0.22070575943988335</v>
      </c>
      <c r="G10" s="258">
        <v>65428</v>
      </c>
      <c r="H10" s="266">
        <f t="shared" si="3"/>
        <v>0.15566545968382939</v>
      </c>
      <c r="I10" s="265">
        <f t="shared" si="4"/>
        <v>8813</v>
      </c>
      <c r="J10" s="264">
        <f t="shared" si="5"/>
        <v>0.26928649040202823</v>
      </c>
      <c r="K10" s="258">
        <v>55407</v>
      </c>
      <c r="L10" s="266">
        <f t="shared" si="6"/>
        <v>-0.1531607262945528</v>
      </c>
      <c r="M10" s="265">
        <f t="shared" si="7"/>
        <v>-10021</v>
      </c>
      <c r="N10" s="264">
        <f t="shared" si="8"/>
        <v>0.23954500845219001</v>
      </c>
      <c r="O10" s="258">
        <v>74445</v>
      </c>
      <c r="P10" s="266">
        <f t="shared" si="9"/>
        <v>0.34360279387081061</v>
      </c>
      <c r="Q10" s="265">
        <f t="shared" si="10"/>
        <v>19038</v>
      </c>
      <c r="R10" s="266">
        <f t="shared" si="1"/>
        <v>1.6903617505691879</v>
      </c>
      <c r="S10" s="265">
        <f t="shared" si="2"/>
        <v>46774</v>
      </c>
      <c r="T10" s="264">
        <f>O10/$O$6</f>
        <v>0.27310646915102021</v>
      </c>
      <c r="V10" s="29"/>
      <c r="W10" s="81"/>
      <c r="AE10" s="1"/>
    </row>
    <row r="11" spans="1:31" s="4" customFormat="1" x14ac:dyDescent="0.25">
      <c r="B11" s="241" t="s">
        <v>52</v>
      </c>
      <c r="C11" s="258">
        <v>16373</v>
      </c>
      <c r="D11" s="258">
        <v>8840</v>
      </c>
      <c r="E11" s="258">
        <v>12945</v>
      </c>
      <c r="F11" s="259">
        <f t="shared" si="0"/>
        <v>5.0464294903281644E-2</v>
      </c>
      <c r="G11" s="258">
        <v>8706</v>
      </c>
      <c r="H11" s="270">
        <f t="shared" si="3"/>
        <v>-0.32746234067207414</v>
      </c>
      <c r="I11" s="261">
        <f t="shared" si="4"/>
        <v>-4239</v>
      </c>
      <c r="J11" s="259">
        <f t="shared" si="5"/>
        <v>3.5831879095189492E-2</v>
      </c>
      <c r="K11" s="258">
        <v>11329</v>
      </c>
      <c r="L11" s="266">
        <f t="shared" si="6"/>
        <v>0.30128646910176893</v>
      </c>
      <c r="M11" s="265">
        <f t="shared" si="7"/>
        <v>2623</v>
      </c>
      <c r="N11" s="264">
        <f t="shared" si="8"/>
        <v>4.8979468311853389E-2</v>
      </c>
      <c r="O11" s="258">
        <v>14660</v>
      </c>
      <c r="P11" s="266">
        <f t="shared" si="9"/>
        <v>0.29402418571806876</v>
      </c>
      <c r="Q11" s="265">
        <f t="shared" si="10"/>
        <v>3331</v>
      </c>
      <c r="R11" s="266">
        <f t="shared" si="1"/>
        <v>-0.10462346546143042</v>
      </c>
      <c r="S11" s="265">
        <f t="shared" si="2"/>
        <v>-1713</v>
      </c>
      <c r="T11" s="264">
        <f t="shared" si="11"/>
        <v>5.3781191990784558E-2</v>
      </c>
      <c r="V11" s="29"/>
      <c r="W11" s="81"/>
      <c r="AE11" s="1"/>
    </row>
    <row r="12" spans="1:31" s="4" customFormat="1" x14ac:dyDescent="0.25">
      <c r="B12" s="241" t="s">
        <v>53</v>
      </c>
      <c r="C12" s="258">
        <v>25464</v>
      </c>
      <c r="D12" s="258">
        <v>38799</v>
      </c>
      <c r="E12" s="258">
        <v>40952</v>
      </c>
      <c r="F12" s="264">
        <f t="shared" si="0"/>
        <v>0.15964571686977133</v>
      </c>
      <c r="G12" s="258">
        <v>43382</v>
      </c>
      <c r="H12" s="266">
        <f t="shared" si="3"/>
        <v>5.9337761281500256E-2</v>
      </c>
      <c r="I12" s="265">
        <f t="shared" si="4"/>
        <v>2430</v>
      </c>
      <c r="J12" s="264">
        <f t="shared" si="5"/>
        <v>0.1785502617628659</v>
      </c>
      <c r="K12" s="258">
        <v>55226</v>
      </c>
      <c r="L12" s="266">
        <f t="shared" si="6"/>
        <v>0.27301645843898381</v>
      </c>
      <c r="M12" s="265">
        <f t="shared" si="7"/>
        <v>11844</v>
      </c>
      <c r="N12" s="264">
        <f t="shared" si="8"/>
        <v>0.23876247832910363</v>
      </c>
      <c r="O12" s="258">
        <v>55216</v>
      </c>
      <c r="P12" s="266">
        <f t="shared" si="9"/>
        <v>-1.8107413174950349E-4</v>
      </c>
      <c r="Q12" s="265">
        <f t="shared" si="10"/>
        <v>-10</v>
      </c>
      <c r="R12" s="266">
        <f t="shared" si="1"/>
        <v>1.1683945962928055</v>
      </c>
      <c r="S12" s="265">
        <f t="shared" si="2"/>
        <v>29752</v>
      </c>
      <c r="T12" s="264">
        <f t="shared" si="11"/>
        <v>0.20256359460867396</v>
      </c>
      <c r="V12" s="29"/>
      <c r="W12" s="81"/>
      <c r="AE12" s="1"/>
    </row>
    <row r="13" spans="1:31" s="4" customFormat="1" x14ac:dyDescent="0.25">
      <c r="B13" s="241" t="s">
        <v>51</v>
      </c>
      <c r="C13" s="258">
        <v>4883</v>
      </c>
      <c r="D13" s="258">
        <v>9207</v>
      </c>
      <c r="E13" s="258">
        <v>7164</v>
      </c>
      <c r="F13" s="259">
        <f t="shared" si="0"/>
        <v>2.7927864711248335E-2</v>
      </c>
      <c r="G13" s="258">
        <v>6280</v>
      </c>
      <c r="H13" s="270">
        <f t="shared" si="3"/>
        <v>-0.12339475153545509</v>
      </c>
      <c r="I13" s="261">
        <f t="shared" si="4"/>
        <v>-884</v>
      </c>
      <c r="J13" s="259">
        <f t="shared" si="5"/>
        <v>2.5847025122649896E-2</v>
      </c>
      <c r="K13" s="258">
        <v>6212</v>
      </c>
      <c r="L13" s="266">
        <f t="shared" si="6"/>
        <v>-1.0828025477707004E-2</v>
      </c>
      <c r="M13" s="265">
        <f t="shared" si="7"/>
        <v>-68</v>
      </c>
      <c r="N13" s="264">
        <f t="shared" si="8"/>
        <v>2.6856779693991813E-2</v>
      </c>
      <c r="O13" s="258">
        <v>8055</v>
      </c>
      <c r="P13" s="266">
        <f t="shared" si="9"/>
        <v>0.29668383773341911</v>
      </c>
      <c r="Q13" s="265">
        <f t="shared" si="10"/>
        <v>1843</v>
      </c>
      <c r="R13" s="266">
        <f t="shared" si="1"/>
        <v>0.64960065533483524</v>
      </c>
      <c r="S13" s="265">
        <f t="shared" si="2"/>
        <v>3172</v>
      </c>
      <c r="T13" s="264">
        <f t="shared" si="11"/>
        <v>2.9550307059056591E-2</v>
      </c>
      <c r="V13" s="29"/>
      <c r="W13" s="81"/>
      <c r="AE13" s="1"/>
    </row>
    <row r="14" spans="1:31" s="4" customFormat="1" x14ac:dyDescent="0.25">
      <c r="B14" s="241" t="s">
        <v>54</v>
      </c>
      <c r="C14" s="258">
        <v>18780</v>
      </c>
      <c r="D14" s="258">
        <v>10551</v>
      </c>
      <c r="E14" s="258">
        <v>13999</v>
      </c>
      <c r="F14" s="264">
        <f t="shared" si="0"/>
        <v>5.4573168354657371E-2</v>
      </c>
      <c r="G14" s="258">
        <v>10024</v>
      </c>
      <c r="H14" s="266">
        <f t="shared" si="3"/>
        <v>-0.28394885348953491</v>
      </c>
      <c r="I14" s="265">
        <f t="shared" si="4"/>
        <v>-3975</v>
      </c>
      <c r="J14" s="264">
        <f t="shared" si="5"/>
        <v>4.1256461756280664E-2</v>
      </c>
      <c r="K14" s="258">
        <v>9241</v>
      </c>
      <c r="L14" s="266">
        <f t="shared" si="6"/>
        <v>-7.8112529928172414E-2</v>
      </c>
      <c r="M14" s="265">
        <f t="shared" si="7"/>
        <v>-783</v>
      </c>
      <c r="N14" s="264">
        <f t="shared" si="8"/>
        <v>3.9952269985862578E-2</v>
      </c>
      <c r="O14" s="258">
        <v>14672</v>
      </c>
      <c r="P14" s="266">
        <f t="shared" si="9"/>
        <v>0.58770695812141538</v>
      </c>
      <c r="Q14" s="265">
        <f t="shared" si="10"/>
        <v>5431</v>
      </c>
      <c r="R14" s="266">
        <f t="shared" si="1"/>
        <v>-0.21874334398296058</v>
      </c>
      <c r="S14" s="265">
        <f t="shared" si="2"/>
        <v>-4108</v>
      </c>
      <c r="T14" s="264">
        <f t="shared" si="11"/>
        <v>5.3825214794596933E-2</v>
      </c>
      <c r="V14" s="29"/>
      <c r="W14" s="81"/>
      <c r="AE14" s="1"/>
    </row>
    <row r="15" spans="1:31" s="4" customFormat="1" x14ac:dyDescent="0.25">
      <c r="B15" s="241" t="s">
        <v>49</v>
      </c>
      <c r="C15" s="258">
        <v>10574</v>
      </c>
      <c r="D15" s="258">
        <v>21983</v>
      </c>
      <c r="E15" s="258">
        <v>18256</v>
      </c>
      <c r="F15" s="259">
        <f t="shared" si="0"/>
        <v>7.1168494998401666E-2</v>
      </c>
      <c r="G15" s="258">
        <v>19799</v>
      </c>
      <c r="H15" s="270">
        <f t="shared" si="3"/>
        <v>8.4520157756354131E-2</v>
      </c>
      <c r="I15" s="261">
        <f t="shared" si="4"/>
        <v>1543</v>
      </c>
      <c r="J15" s="259">
        <f t="shared" si="5"/>
        <v>8.1488097197984916E-2</v>
      </c>
      <c r="K15" s="258">
        <v>10049</v>
      </c>
      <c r="L15" s="266">
        <f t="shared" si="6"/>
        <v>-0.49244911359159549</v>
      </c>
      <c r="M15" s="265">
        <f t="shared" si="7"/>
        <v>-9750</v>
      </c>
      <c r="N15" s="264">
        <f t="shared" si="8"/>
        <v>4.3445553629253654E-2</v>
      </c>
      <c r="O15" s="258">
        <v>13286</v>
      </c>
      <c r="P15" s="266">
        <f t="shared" si="9"/>
        <v>0.32212160413971547</v>
      </c>
      <c r="Q15" s="265">
        <f t="shared" si="10"/>
        <v>3237</v>
      </c>
      <c r="R15" s="266">
        <f t="shared" si="1"/>
        <v>0.25647815396254958</v>
      </c>
      <c r="S15" s="265">
        <f t="shared" si="2"/>
        <v>2712</v>
      </c>
      <c r="T15" s="264">
        <f t="shared" si="11"/>
        <v>4.8740580954267643E-2</v>
      </c>
      <c r="V15" s="29"/>
      <c r="W15" s="81"/>
      <c r="AE15" s="1"/>
    </row>
    <row r="16" spans="1:31" s="4" customFormat="1" x14ac:dyDescent="0.25">
      <c r="B16" s="241" t="s">
        <v>211</v>
      </c>
      <c r="C16" s="258">
        <f>C6-SUM(C7:C15)</f>
        <v>15882</v>
      </c>
      <c r="D16" s="258">
        <f>D6-SUM(D7:D15)</f>
        <v>23300</v>
      </c>
      <c r="E16" s="258">
        <f>E6-SUM(E7:E15)</f>
        <v>24686</v>
      </c>
      <c r="F16" s="264">
        <f t="shared" si="0"/>
        <v>9.6234962068938626E-2</v>
      </c>
      <c r="G16" s="258">
        <f>G6-SUM(G7:G15)</f>
        <v>22622</v>
      </c>
      <c r="H16" s="266">
        <f t="shared" si="3"/>
        <v>-8.3610143401118053E-2</v>
      </c>
      <c r="I16" s="265">
        <f t="shared" si="4"/>
        <v>-2064</v>
      </c>
      <c r="J16" s="264">
        <f t="shared" si="5"/>
        <v>9.3106911198182471E-2</v>
      </c>
      <c r="K16" s="258">
        <f>K6-SUM(K7:K15)</f>
        <v>18740</v>
      </c>
      <c r="L16" s="266">
        <f t="shared" si="6"/>
        <v>-0.17160286446821682</v>
      </c>
      <c r="M16" s="265">
        <f t="shared" si="7"/>
        <v>-3882</v>
      </c>
      <c r="N16" s="264">
        <f t="shared" si="8"/>
        <v>8.1019969649936657E-2</v>
      </c>
      <c r="O16" s="258">
        <f>O6-SUM(O7:O15)</f>
        <v>9402</v>
      </c>
      <c r="P16" s="266">
        <f t="shared" si="9"/>
        <v>-0.49829242262540019</v>
      </c>
      <c r="Q16" s="265">
        <f t="shared" si="10"/>
        <v>-9338</v>
      </c>
      <c r="R16" s="266">
        <f t="shared" si="1"/>
        <v>-0.40800906686815264</v>
      </c>
      <c r="S16" s="265">
        <f t="shared" si="2"/>
        <v>-6480</v>
      </c>
      <c r="T16" s="264">
        <f t="shared" si="11"/>
        <v>3.4491866786995666E-2</v>
      </c>
      <c r="V16" s="29"/>
      <c r="W16" s="81"/>
      <c r="AE16" s="1"/>
    </row>
    <row r="17" spans="2:31" s="4" customFormat="1" ht="7.5" customHeight="1" x14ac:dyDescent="0.25">
      <c r="B17" s="242"/>
      <c r="C17" s="242"/>
      <c r="D17" s="242"/>
      <c r="E17" s="242"/>
      <c r="F17" s="242"/>
      <c r="G17" s="242"/>
      <c r="H17" s="242"/>
      <c r="I17" s="242"/>
      <c r="J17" s="242"/>
      <c r="K17" s="242"/>
      <c r="L17" s="242"/>
      <c r="M17" s="242"/>
      <c r="N17" s="242"/>
      <c r="O17" s="242"/>
      <c r="P17" s="242"/>
      <c r="Q17" s="242"/>
      <c r="R17" s="242"/>
      <c r="S17" s="242"/>
      <c r="T17" s="242"/>
      <c r="AE17" s="1" t="s">
        <v>187</v>
      </c>
    </row>
    <row r="18" spans="2:31" s="4" customFormat="1" x14ac:dyDescent="0.25">
      <c r="B18" s="171" t="s">
        <v>188</v>
      </c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AE18" s="1" t="s">
        <v>189</v>
      </c>
    </row>
    <row r="19" spans="2:31" s="4" customFormat="1" x14ac:dyDescent="0.25">
      <c r="AE19" s="1"/>
    </row>
    <row r="42" spans="2:31" s="4" customFormat="1" ht="15.75" hidden="1" customHeight="1" thickBot="1" x14ac:dyDescent="0.3">
      <c r="B42" s="273" t="s">
        <v>190</v>
      </c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85"/>
      <c r="AE42" s="1"/>
    </row>
    <row r="43" spans="2:31" s="4" customFormat="1" ht="6" hidden="1" customHeight="1" thickBot="1" x14ac:dyDescent="0.3">
      <c r="AE43" s="1"/>
    </row>
    <row r="44" spans="2:31" s="4" customFormat="1" ht="30" hidden="1" x14ac:dyDescent="0.25">
      <c r="C44" s="89"/>
      <c r="D44" s="89"/>
      <c r="E44" s="89"/>
      <c r="F44" s="89"/>
      <c r="G44" s="89"/>
      <c r="H44" s="89"/>
      <c r="I44" s="89"/>
      <c r="J44" s="89"/>
      <c r="K44" s="14">
        <v>2020</v>
      </c>
      <c r="L44" s="14"/>
      <c r="M44" s="14"/>
      <c r="N44" s="14" t="s">
        <v>191</v>
      </c>
      <c r="O44" s="14">
        <v>2021</v>
      </c>
      <c r="P44" s="14" t="s">
        <v>191</v>
      </c>
      <c r="Q44" s="14" t="s">
        <v>192</v>
      </c>
      <c r="R44" s="14" t="s">
        <v>193</v>
      </c>
      <c r="S44" s="14" t="s">
        <v>194</v>
      </c>
      <c r="T44" s="89"/>
      <c r="AE44" s="1"/>
    </row>
    <row r="45" spans="2:31" s="4" customFormat="1" ht="18.75" hidden="1" x14ac:dyDescent="0.3">
      <c r="B45" s="230" t="s">
        <v>178</v>
      </c>
      <c r="C45" s="231"/>
      <c r="D45" s="231"/>
      <c r="E45" s="231"/>
      <c r="F45" s="231"/>
      <c r="G45" s="231"/>
      <c r="H45" s="231"/>
      <c r="I45" s="231"/>
      <c r="J45" s="231"/>
      <c r="K45" s="231">
        <v>1824653</v>
      </c>
      <c r="L45" s="231"/>
      <c r="M45" s="231"/>
      <c r="N45" s="232"/>
      <c r="O45" s="231">
        <v>2354005</v>
      </c>
      <c r="P45" s="232"/>
      <c r="Q45" s="232">
        <v>1</v>
      </c>
      <c r="R45" s="232">
        <v>0.2901110512519367</v>
      </c>
      <c r="S45" s="231">
        <v>529352</v>
      </c>
      <c r="T45" s="243"/>
      <c r="AE45" s="1"/>
    </row>
    <row r="46" spans="2:31" ht="18.75" hidden="1" x14ac:dyDescent="0.3">
      <c r="B46" s="230" t="s">
        <v>179</v>
      </c>
      <c r="C46" s="231"/>
      <c r="D46" s="231"/>
      <c r="E46" s="231"/>
      <c r="F46" s="231"/>
      <c r="G46" s="231"/>
      <c r="H46" s="231"/>
      <c r="I46" s="231"/>
      <c r="J46" s="231"/>
      <c r="K46" s="231">
        <v>603938</v>
      </c>
      <c r="L46" s="231"/>
      <c r="M46" s="231"/>
      <c r="N46" s="232">
        <v>1</v>
      </c>
      <c r="O46" s="231">
        <v>936181</v>
      </c>
      <c r="P46" s="232">
        <v>1</v>
      </c>
      <c r="Q46" s="232">
        <v>0.39769711619134201</v>
      </c>
      <c r="R46" s="232">
        <v>0.55012766211101138</v>
      </c>
      <c r="S46" s="231">
        <v>332243</v>
      </c>
      <c r="T46" s="243"/>
      <c r="AE46" s="1" t="s">
        <v>180</v>
      </c>
    </row>
    <row r="47" spans="2:31" ht="15.75" hidden="1" x14ac:dyDescent="0.25">
      <c r="B47" s="233" t="s">
        <v>105</v>
      </c>
      <c r="C47" s="234"/>
      <c r="D47" s="234"/>
      <c r="E47" s="234"/>
      <c r="F47" s="234"/>
      <c r="G47" s="234"/>
      <c r="H47" s="234"/>
      <c r="I47" s="234"/>
      <c r="J47" s="234"/>
      <c r="K47" s="234">
        <v>276550.36166633503</v>
      </c>
      <c r="L47" s="234"/>
      <c r="M47" s="234"/>
      <c r="N47" s="235">
        <v>0.45791184139155844</v>
      </c>
      <c r="O47" s="234">
        <v>430252.45635520399</v>
      </c>
      <c r="P47" s="235">
        <v>0.4595825554622493</v>
      </c>
      <c r="Q47" s="235">
        <v>0.18277465695918402</v>
      </c>
      <c r="R47" s="235">
        <v>0.55578337978930015</v>
      </c>
      <c r="S47" s="234">
        <v>153702.09468886897</v>
      </c>
      <c r="T47" s="244"/>
      <c r="AE47" s="1" t="s">
        <v>181</v>
      </c>
    </row>
    <row r="48" spans="2:31" s="4" customFormat="1" hidden="1" x14ac:dyDescent="0.25">
      <c r="B48" s="236" t="s">
        <v>108</v>
      </c>
      <c r="C48" s="237"/>
      <c r="D48" s="237"/>
      <c r="E48" s="237"/>
      <c r="F48" s="237"/>
      <c r="G48" s="237"/>
      <c r="H48" s="237"/>
      <c r="I48" s="237"/>
      <c r="J48" s="237"/>
      <c r="K48" s="237">
        <v>327387.63833385095</v>
      </c>
      <c r="L48" s="237"/>
      <c r="M48" s="237"/>
      <c r="N48" s="240">
        <v>0.54208815860874948</v>
      </c>
      <c r="O48" s="237">
        <v>505927.5436448183</v>
      </c>
      <c r="P48" s="240">
        <v>0.54041637636826456</v>
      </c>
      <c r="Q48" s="240">
        <v>0.21492203442423372</v>
      </c>
      <c r="R48" s="238">
        <v>0.54534711884540576</v>
      </c>
      <c r="S48" s="239">
        <v>178539.90531096736</v>
      </c>
      <c r="T48" s="246"/>
      <c r="AE48" s="1" t="s">
        <v>182</v>
      </c>
    </row>
    <row r="49" spans="2:31" s="4" customFormat="1" hidden="1" x14ac:dyDescent="0.25">
      <c r="B49" s="241" t="s">
        <v>183</v>
      </c>
      <c r="C49" s="29"/>
      <c r="D49" s="29"/>
      <c r="E49" s="29"/>
      <c r="F49" s="29"/>
      <c r="G49" s="29"/>
      <c r="H49" s="29"/>
      <c r="I49" s="29"/>
      <c r="J49" s="29"/>
      <c r="K49" s="29">
        <v>242109.12821622068</v>
      </c>
      <c r="L49" s="29"/>
      <c r="M49" s="29"/>
      <c r="N49" s="31">
        <v>0.4008840778626625</v>
      </c>
      <c r="O49" s="29">
        <v>391384.01224089495</v>
      </c>
      <c r="P49" s="31">
        <v>0.41806446855992052</v>
      </c>
      <c r="Q49" s="31">
        <v>0.16626303352834634</v>
      </c>
      <c r="R49" s="22">
        <v>0.61656033014732592</v>
      </c>
      <c r="S49" s="20">
        <v>149274.88402467428</v>
      </c>
      <c r="T49" s="20"/>
      <c r="AE49" s="1" t="s">
        <v>184</v>
      </c>
    </row>
    <row r="50" spans="2:31" s="4" customFormat="1" hidden="1" x14ac:dyDescent="0.25">
      <c r="B50" s="241" t="s">
        <v>185</v>
      </c>
      <c r="C50" s="29"/>
      <c r="D50" s="29"/>
      <c r="E50" s="29"/>
      <c r="F50" s="29"/>
      <c r="G50" s="29"/>
      <c r="H50" s="29"/>
      <c r="I50" s="29"/>
      <c r="J50" s="29"/>
      <c r="K50" s="29">
        <v>85278.510117630256</v>
      </c>
      <c r="L50" s="29"/>
      <c r="M50" s="29"/>
      <c r="N50" s="31">
        <v>0.14120408074608695</v>
      </c>
      <c r="O50" s="29">
        <v>114543.53140392336</v>
      </c>
      <c r="P50" s="31">
        <v>0.12235190780834407</v>
      </c>
      <c r="Q50" s="31">
        <v>4.8659000895887379E-2</v>
      </c>
      <c r="R50" s="22">
        <v>0.34316994100771625</v>
      </c>
      <c r="S50" s="20">
        <v>29265.021286293108</v>
      </c>
      <c r="T50" s="20"/>
      <c r="AE50" s="1" t="s">
        <v>186</v>
      </c>
    </row>
    <row r="51" spans="2:31" s="4" customFormat="1" ht="7.5" hidden="1" customHeight="1" x14ac:dyDescent="0.25">
      <c r="B51" s="242"/>
      <c r="C51" s="242"/>
      <c r="D51" s="242"/>
      <c r="E51" s="242"/>
      <c r="F51" s="242"/>
      <c r="G51" s="242"/>
      <c r="H51" s="242"/>
      <c r="I51" s="242"/>
      <c r="J51" s="242"/>
      <c r="K51" s="242"/>
      <c r="L51" s="242"/>
      <c r="M51" s="242"/>
      <c r="N51" s="242"/>
      <c r="O51" s="242"/>
      <c r="P51" s="242"/>
      <c r="Q51" s="242"/>
      <c r="R51" s="242"/>
      <c r="S51" s="242"/>
      <c r="AE51" s="1" t="s">
        <v>187</v>
      </c>
    </row>
    <row r="52" spans="2:31" s="4" customFormat="1" hidden="1" x14ac:dyDescent="0.25">
      <c r="B52" s="291" t="s">
        <v>188</v>
      </c>
      <c r="C52" s="291"/>
      <c r="D52" s="291"/>
      <c r="E52" s="291"/>
      <c r="F52" s="291"/>
      <c r="G52" s="291"/>
      <c r="H52" s="291"/>
      <c r="I52" s="291"/>
      <c r="J52" s="291"/>
      <c r="K52" s="291"/>
      <c r="L52" s="291"/>
      <c r="M52" s="291"/>
      <c r="N52" s="291"/>
      <c r="O52" s="291"/>
      <c r="P52" s="291"/>
      <c r="Q52" s="291"/>
      <c r="R52" s="291"/>
      <c r="S52" s="291"/>
      <c r="T52" s="49"/>
      <c r="AE52" s="1" t="s">
        <v>189</v>
      </c>
    </row>
    <row r="53" spans="2:31" s="4" customFormat="1" hidden="1" x14ac:dyDescent="0.25">
      <c r="AE53" s="1"/>
    </row>
    <row r="54" spans="2:31" hidden="1" x14ac:dyDescent="0.25">
      <c r="C54" s="125"/>
      <c r="D54" s="125"/>
      <c r="E54" s="125"/>
      <c r="F54" s="125"/>
      <c r="G54" s="125"/>
      <c r="H54" s="125"/>
      <c r="I54" s="125"/>
      <c r="J54" s="125"/>
      <c r="K54" s="125">
        <v>0.54208815860874948</v>
      </c>
      <c r="L54" s="125"/>
      <c r="M54" s="125"/>
    </row>
    <row r="55" spans="2:31" hidden="1" x14ac:dyDescent="0.25"/>
    <row r="56" spans="2:31" hidden="1" x14ac:dyDescent="0.25"/>
    <row r="57" spans="2:31" hidden="1" x14ac:dyDescent="0.25"/>
    <row r="58" spans="2:31" hidden="1" x14ac:dyDescent="0.25"/>
    <row r="59" spans="2:31" hidden="1" x14ac:dyDescent="0.25"/>
    <row r="60" spans="2:31" hidden="1" x14ac:dyDescent="0.25"/>
    <row r="61" spans="2:31" hidden="1" x14ac:dyDescent="0.25"/>
    <row r="62" spans="2:31" hidden="1" x14ac:dyDescent="0.25"/>
    <row r="63" spans="2:31" hidden="1" x14ac:dyDescent="0.25"/>
    <row r="64" spans="2:31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  <row r="79" hidden="1" x14ac:dyDescent="0.25"/>
    <row r="80" hidden="1" x14ac:dyDescent="0.25"/>
    <row r="81" hidden="1" x14ac:dyDescent="0.25"/>
    <row r="82" hidden="1" x14ac:dyDescent="0.25"/>
    <row r="83" hidden="1" x14ac:dyDescent="0.25"/>
    <row r="84" hidden="1" x14ac:dyDescent="0.25"/>
    <row r="85" hidden="1" x14ac:dyDescent="0.25"/>
    <row r="86" hidden="1" x14ac:dyDescent="0.25"/>
    <row r="87" hidden="1" x14ac:dyDescent="0.25"/>
    <row r="88" hidden="1" x14ac:dyDescent="0.25"/>
    <row r="89" hidden="1" x14ac:dyDescent="0.25"/>
    <row r="90" hidden="1" x14ac:dyDescent="0.25"/>
    <row r="91" hidden="1" x14ac:dyDescent="0.25"/>
    <row r="92" hidden="1" x14ac:dyDescent="0.25"/>
    <row r="93" hidden="1" x14ac:dyDescent="0.25"/>
    <row r="94" hidden="1" x14ac:dyDescent="0.25"/>
    <row r="95" hidden="1" x14ac:dyDescent="0.25"/>
    <row r="96" hidden="1" x14ac:dyDescent="0.25"/>
    <row r="97" hidden="1" x14ac:dyDescent="0.25"/>
    <row r="98" hidden="1" x14ac:dyDescent="0.25"/>
    <row r="99" hidden="1" x14ac:dyDescent="0.25"/>
    <row r="100" hidden="1" x14ac:dyDescent="0.25"/>
    <row r="101" hidden="1" x14ac:dyDescent="0.25"/>
    <row r="102" hidden="1" x14ac:dyDescent="0.25"/>
    <row r="103" hidden="1" x14ac:dyDescent="0.25"/>
    <row r="104" hidden="1" x14ac:dyDescent="0.25"/>
    <row r="105" hidden="1" x14ac:dyDescent="0.25"/>
    <row r="106" hidden="1" x14ac:dyDescent="0.25"/>
    <row r="107" hidden="1" x14ac:dyDescent="0.25"/>
    <row r="108" hidden="1" x14ac:dyDescent="0.25"/>
    <row r="109" hidden="1" x14ac:dyDescent="0.25"/>
    <row r="110" hidden="1" x14ac:dyDescent="0.25"/>
    <row r="111" hidden="1" x14ac:dyDescent="0.25"/>
    <row r="112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33" spans="1:31" s="4" customFormat="1" ht="25.5" customHeight="1" thickBot="1" x14ac:dyDescent="0.3">
      <c r="B133" s="66" t="s">
        <v>215</v>
      </c>
      <c r="C133" s="66"/>
      <c r="D133" s="66"/>
      <c r="E133" s="66"/>
      <c r="F133" s="66"/>
      <c r="G133" s="66"/>
      <c r="H133" s="66"/>
      <c r="I133" s="66"/>
      <c r="J133" s="66"/>
      <c r="K133" s="66"/>
      <c r="L133" s="66"/>
      <c r="M133" s="66"/>
      <c r="N133" s="66"/>
      <c r="O133" s="66"/>
      <c r="Z133" s="1"/>
    </row>
    <row r="134" spans="1:31" s="4" customFormat="1" ht="6" customHeight="1" x14ac:dyDescent="0.25">
      <c r="Z134" s="1"/>
    </row>
    <row r="135" spans="1:31" s="4" customFormat="1" ht="30" x14ac:dyDescent="0.25">
      <c r="C135" s="185">
        <v>2021</v>
      </c>
      <c r="D135" s="185">
        <v>2022</v>
      </c>
      <c r="E135" s="185">
        <v>2023</v>
      </c>
      <c r="F135" s="185">
        <v>2024</v>
      </c>
      <c r="G135" s="173" t="str">
        <f>CONCATENATE("var. ",RIGHT(F135,2),"/",RIGHT(E135,2))</f>
        <v>var. 24/23</v>
      </c>
      <c r="H135" s="173" t="str">
        <f>CONCATENATE("dif. ",RIGHT(F135,2),"/",RIGHT(E135,2))</f>
        <v>dif. 24/23</v>
      </c>
      <c r="I135" s="173" t="str">
        <f>CONCATENATE("%/s total Península ",RIGHT(F135,4))</f>
        <v>%/s total Península 2024</v>
      </c>
      <c r="J135" s="185">
        <v>2025</v>
      </c>
      <c r="K135" s="173" t="str">
        <f>CONCATENATE("%/s total España ",RIGHT(J135,4))</f>
        <v>%/s total España 2025</v>
      </c>
      <c r="L135" s="173" t="str">
        <f>CONCATENATE("var. ",RIGHT(J135,2),"/",RIGHT(F135,2))</f>
        <v>var. 25/24</v>
      </c>
      <c r="M135" s="173" t="str">
        <f>CONCATENATE("dif. ",RIGHT(J135,2),"/",RIGHT(F135,2))</f>
        <v>dif. 25/24</v>
      </c>
      <c r="N135" s="173" t="str">
        <f>CONCATENATE("var. ",RIGHT(J135,2),"/",RIGHT(C135,2))</f>
        <v>var. 25/21</v>
      </c>
      <c r="O135" s="173" t="str">
        <f>CONCATENATE("dif. ",RIGHT(J135,2),"/",RIGHT(C135,2))</f>
        <v>dif. 25/21</v>
      </c>
      <c r="Z135" s="1"/>
    </row>
    <row r="136" spans="1:31" ht="18.75" x14ac:dyDescent="0.3">
      <c r="A136" s="4"/>
      <c r="B136" s="230" t="s">
        <v>210</v>
      </c>
      <c r="C136" s="234">
        <v>416048</v>
      </c>
      <c r="D136" s="234">
        <v>423986</v>
      </c>
      <c r="E136" s="234">
        <v>430319</v>
      </c>
      <c r="F136" s="234">
        <v>422024</v>
      </c>
      <c r="G136" s="235">
        <f>F136/E136-1</f>
        <v>-1.9276397277368629E-2</v>
      </c>
      <c r="H136" s="234">
        <f>F136-E136</f>
        <v>-8295</v>
      </c>
      <c r="I136" s="235">
        <f>F136/F$136</f>
        <v>1</v>
      </c>
      <c r="J136" s="234">
        <v>424160</v>
      </c>
      <c r="K136" s="235">
        <f>H136/H$136</f>
        <v>1</v>
      </c>
      <c r="L136" s="235">
        <f>J136/F136-1</f>
        <v>5.0613235266241396E-3</v>
      </c>
      <c r="M136" s="234">
        <f>J136-F136</f>
        <v>2136</v>
      </c>
      <c r="N136" s="235">
        <f>J136/C136-1</f>
        <v>1.9497750259585445E-2</v>
      </c>
      <c r="O136" s="234">
        <f>J136-C136</f>
        <v>8112</v>
      </c>
      <c r="Q136" s="29"/>
      <c r="R136" s="81"/>
      <c r="Z136" s="1" t="s">
        <v>180</v>
      </c>
      <c r="AE136"/>
    </row>
    <row r="137" spans="1:31" s="4" customFormat="1" x14ac:dyDescent="0.25">
      <c r="B137" s="241" t="s">
        <v>46</v>
      </c>
      <c r="C137" s="258">
        <v>126666</v>
      </c>
      <c r="D137" s="258">
        <v>86860</v>
      </c>
      <c r="E137" s="258">
        <v>75361</v>
      </c>
      <c r="F137" s="258">
        <v>60679</v>
      </c>
      <c r="G137" s="264">
        <f t="shared" ref="G137:G146" si="12">F137/E137-1</f>
        <v>-0.19482225554331811</v>
      </c>
      <c r="H137" s="271">
        <f t="shared" ref="H137:H146" si="13">F137-E137</f>
        <v>-14682</v>
      </c>
      <c r="I137" s="266">
        <f t="shared" ref="I137:K146" si="14">F137/F$136</f>
        <v>0.14378092241199553</v>
      </c>
      <c r="J137" s="258">
        <v>67419</v>
      </c>
      <c r="K137" s="266">
        <f t="shared" si="14"/>
        <v>1.7699819168173598</v>
      </c>
      <c r="L137" s="266">
        <f t="shared" ref="L137:L146" si="15">J137/F137-1</f>
        <v>0.11107631964930209</v>
      </c>
      <c r="M137" s="265">
        <f t="shared" ref="M137:M146" si="16">J137-F137</f>
        <v>6740</v>
      </c>
      <c r="N137" s="264">
        <f t="shared" ref="N137:N146" si="17">J137/C137-1</f>
        <v>-0.467741935483871</v>
      </c>
      <c r="O137" s="258">
        <f t="shared" ref="O137:O146" si="18">J137-C137</f>
        <v>-59247</v>
      </c>
      <c r="Q137" s="29"/>
      <c r="R137" s="81"/>
      <c r="Z137" s="1" t="s">
        <v>182</v>
      </c>
    </row>
    <row r="138" spans="1:31" s="4" customFormat="1" x14ac:dyDescent="0.25">
      <c r="B138" s="241" t="s">
        <v>47</v>
      </c>
      <c r="C138" s="258">
        <v>43482</v>
      </c>
      <c r="D138" s="258">
        <v>48234</v>
      </c>
      <c r="E138" s="258">
        <v>52610</v>
      </c>
      <c r="F138" s="258">
        <v>50222</v>
      </c>
      <c r="G138" s="264">
        <f t="shared" si="12"/>
        <v>-4.5390610150161548E-2</v>
      </c>
      <c r="H138" s="271">
        <f t="shared" si="13"/>
        <v>-2388</v>
      </c>
      <c r="I138" s="266">
        <f t="shared" si="14"/>
        <v>0.11900271074630826</v>
      </c>
      <c r="J138" s="258">
        <v>51408</v>
      </c>
      <c r="K138" s="266">
        <f t="shared" si="14"/>
        <v>0.28788426763110309</v>
      </c>
      <c r="L138" s="266">
        <f t="shared" si="15"/>
        <v>2.3615148739596137E-2</v>
      </c>
      <c r="M138" s="265">
        <f t="shared" si="16"/>
        <v>1186</v>
      </c>
      <c r="N138" s="264">
        <f t="shared" si="17"/>
        <v>0.18228232372016007</v>
      </c>
      <c r="O138" s="258">
        <f t="shared" si="18"/>
        <v>7926</v>
      </c>
      <c r="Q138" s="29"/>
      <c r="R138" s="81"/>
      <c r="Z138" s="1"/>
    </row>
    <row r="139" spans="1:31" s="4" customFormat="1" x14ac:dyDescent="0.25">
      <c r="B139" s="241" t="s">
        <v>48</v>
      </c>
      <c r="C139" s="258">
        <v>2415</v>
      </c>
      <c r="D139" s="258">
        <v>3515</v>
      </c>
      <c r="E139" s="258">
        <v>14856</v>
      </c>
      <c r="F139" s="258">
        <v>7765</v>
      </c>
      <c r="G139" s="264">
        <f t="shared" si="12"/>
        <v>-0.47731556273559506</v>
      </c>
      <c r="H139" s="272">
        <f t="shared" si="13"/>
        <v>-7091</v>
      </c>
      <c r="I139" s="270">
        <f t="shared" si="14"/>
        <v>1.8399427520709721E-2</v>
      </c>
      <c r="J139" s="258">
        <v>5908</v>
      </c>
      <c r="K139" s="270">
        <f t="shared" si="14"/>
        <v>0.85485232067510553</v>
      </c>
      <c r="L139" s="266">
        <f t="shared" si="15"/>
        <v>-0.23915003219575015</v>
      </c>
      <c r="M139" s="265">
        <f t="shared" si="16"/>
        <v>-1857</v>
      </c>
      <c r="N139" s="264">
        <f t="shared" si="17"/>
        <v>1.4463768115942028</v>
      </c>
      <c r="O139" s="258">
        <f t="shared" si="18"/>
        <v>3493</v>
      </c>
      <c r="Q139" s="29"/>
      <c r="R139" s="81"/>
      <c r="Z139" s="1"/>
    </row>
    <row r="140" spans="1:31" s="4" customFormat="1" x14ac:dyDescent="0.25">
      <c r="B140" s="241" t="s">
        <v>50</v>
      </c>
      <c r="C140" s="258">
        <v>66989</v>
      </c>
      <c r="D140" s="258">
        <v>97955</v>
      </c>
      <c r="E140" s="258">
        <v>92865</v>
      </c>
      <c r="F140" s="258">
        <v>106402</v>
      </c>
      <c r="G140" s="264">
        <f t="shared" si="12"/>
        <v>0.14577074247563671</v>
      </c>
      <c r="H140" s="271">
        <f t="shared" si="13"/>
        <v>13537</v>
      </c>
      <c r="I140" s="266">
        <f t="shared" si="14"/>
        <v>0.25212310200367749</v>
      </c>
      <c r="J140" s="258">
        <v>104050</v>
      </c>
      <c r="K140" s="266">
        <f t="shared" si="14"/>
        <v>-1.631946955997589</v>
      </c>
      <c r="L140" s="266">
        <f t="shared" si="15"/>
        <v>-2.2104847653239612E-2</v>
      </c>
      <c r="M140" s="265">
        <f t="shared" si="16"/>
        <v>-2352</v>
      </c>
      <c r="N140" s="264">
        <f t="shared" si="17"/>
        <v>0.55324008419292725</v>
      </c>
      <c r="O140" s="258">
        <f t="shared" si="18"/>
        <v>37061</v>
      </c>
      <c r="Q140" s="29"/>
      <c r="R140" s="81"/>
      <c r="Z140" s="1"/>
    </row>
    <row r="141" spans="1:31" s="4" customFormat="1" x14ac:dyDescent="0.25">
      <c r="B141" s="241" t="s">
        <v>52</v>
      </c>
      <c r="C141" s="258">
        <v>24120</v>
      </c>
      <c r="D141" s="258">
        <v>16359</v>
      </c>
      <c r="E141" s="258">
        <v>19520</v>
      </c>
      <c r="F141" s="258">
        <v>16099</v>
      </c>
      <c r="G141" s="264">
        <f t="shared" si="12"/>
        <v>-0.17525614754098362</v>
      </c>
      <c r="H141" s="272">
        <f t="shared" si="13"/>
        <v>-3421</v>
      </c>
      <c r="I141" s="270">
        <f t="shared" si="14"/>
        <v>3.814711959509412E-2</v>
      </c>
      <c r="J141" s="258">
        <v>20486</v>
      </c>
      <c r="K141" s="270">
        <f t="shared" si="14"/>
        <v>0.41241711874623266</v>
      </c>
      <c r="L141" s="266">
        <f t="shared" si="15"/>
        <v>0.2725013976023356</v>
      </c>
      <c r="M141" s="265">
        <f t="shared" si="16"/>
        <v>4387</v>
      </c>
      <c r="N141" s="264">
        <f t="shared" si="17"/>
        <v>-0.1506633499170813</v>
      </c>
      <c r="O141" s="258">
        <f t="shared" si="18"/>
        <v>-3634</v>
      </c>
      <c r="Q141" s="29"/>
      <c r="R141" s="81"/>
      <c r="Z141" s="1"/>
    </row>
    <row r="142" spans="1:31" s="4" customFormat="1" x14ac:dyDescent="0.25">
      <c r="B142" s="241" t="s">
        <v>53</v>
      </c>
      <c r="C142" s="258">
        <v>53247</v>
      </c>
      <c r="D142" s="258">
        <v>69865</v>
      </c>
      <c r="E142" s="258">
        <v>67025</v>
      </c>
      <c r="F142" s="258">
        <v>75188</v>
      </c>
      <c r="G142" s="264">
        <f t="shared" si="12"/>
        <v>0.12179037672510251</v>
      </c>
      <c r="H142" s="271">
        <f t="shared" si="13"/>
        <v>8163</v>
      </c>
      <c r="I142" s="266">
        <f t="shared" si="14"/>
        <v>0.17816048376395655</v>
      </c>
      <c r="J142" s="258">
        <v>93462</v>
      </c>
      <c r="K142" s="266">
        <f t="shared" si="14"/>
        <v>-0.98408679927667264</v>
      </c>
      <c r="L142" s="266">
        <f t="shared" si="15"/>
        <v>0.24304410278235888</v>
      </c>
      <c r="M142" s="265">
        <f t="shared" si="16"/>
        <v>18274</v>
      </c>
      <c r="N142" s="264">
        <f t="shared" si="17"/>
        <v>0.75525381711645734</v>
      </c>
      <c r="O142" s="258">
        <f t="shared" si="18"/>
        <v>40215</v>
      </c>
      <c r="Q142" s="29"/>
      <c r="R142" s="81"/>
      <c r="Z142" s="1"/>
    </row>
    <row r="143" spans="1:31" s="4" customFormat="1" x14ac:dyDescent="0.25">
      <c r="B143" s="241" t="s">
        <v>51</v>
      </c>
      <c r="C143" s="258">
        <v>11001</v>
      </c>
      <c r="D143" s="258">
        <v>16289</v>
      </c>
      <c r="E143" s="258">
        <v>12024</v>
      </c>
      <c r="F143" s="258">
        <v>11877</v>
      </c>
      <c r="G143" s="264">
        <f t="shared" si="12"/>
        <v>-1.2225548902195627E-2</v>
      </c>
      <c r="H143" s="272">
        <f t="shared" si="13"/>
        <v>-147</v>
      </c>
      <c r="I143" s="270">
        <f t="shared" si="14"/>
        <v>2.8142949216158324E-2</v>
      </c>
      <c r="J143" s="258">
        <v>13687</v>
      </c>
      <c r="K143" s="270">
        <f t="shared" si="14"/>
        <v>1.7721518987341773E-2</v>
      </c>
      <c r="L143" s="266">
        <f t="shared" si="15"/>
        <v>0.15239538604024583</v>
      </c>
      <c r="M143" s="265">
        <f t="shared" si="16"/>
        <v>1810</v>
      </c>
      <c r="N143" s="264">
        <f t="shared" si="17"/>
        <v>0.24415962185255879</v>
      </c>
      <c r="O143" s="258">
        <f t="shared" si="18"/>
        <v>2686</v>
      </c>
      <c r="Q143" s="29"/>
      <c r="R143" s="81"/>
      <c r="Z143" s="1"/>
    </row>
    <row r="144" spans="1:31" s="4" customFormat="1" x14ac:dyDescent="0.25">
      <c r="B144" s="241" t="s">
        <v>54</v>
      </c>
      <c r="C144" s="258">
        <v>34195</v>
      </c>
      <c r="D144" s="258">
        <v>19968</v>
      </c>
      <c r="E144" s="258">
        <v>22352</v>
      </c>
      <c r="F144" s="258">
        <v>18376</v>
      </c>
      <c r="G144" s="264">
        <f t="shared" si="12"/>
        <v>-0.17788117394416603</v>
      </c>
      <c r="H144" s="271">
        <f t="shared" si="13"/>
        <v>-3976</v>
      </c>
      <c r="I144" s="266">
        <f t="shared" si="14"/>
        <v>4.3542547343279052E-2</v>
      </c>
      <c r="J144" s="258">
        <v>19606</v>
      </c>
      <c r="K144" s="266">
        <f t="shared" si="14"/>
        <v>0.47932489451476795</v>
      </c>
      <c r="L144" s="266">
        <f t="shared" si="15"/>
        <v>6.693513278188945E-2</v>
      </c>
      <c r="M144" s="265">
        <f t="shared" si="16"/>
        <v>1230</v>
      </c>
      <c r="N144" s="264">
        <f t="shared" si="17"/>
        <v>-0.42664132183067704</v>
      </c>
      <c r="O144" s="258">
        <f t="shared" si="18"/>
        <v>-14589</v>
      </c>
      <c r="Q144" s="29"/>
      <c r="R144" s="81"/>
      <c r="Z144" s="1"/>
    </row>
    <row r="145" spans="2:31" s="4" customFormat="1" x14ac:dyDescent="0.25">
      <c r="B145" s="241" t="s">
        <v>49</v>
      </c>
      <c r="C145" s="258">
        <v>21567</v>
      </c>
      <c r="D145" s="258">
        <v>23338</v>
      </c>
      <c r="E145" s="258">
        <v>29399</v>
      </c>
      <c r="F145" s="258">
        <v>37562</v>
      </c>
      <c r="G145" s="264">
        <f t="shared" si="12"/>
        <v>0.27766250552739891</v>
      </c>
      <c r="H145" s="272">
        <f t="shared" si="13"/>
        <v>8163</v>
      </c>
      <c r="I145" s="270">
        <f t="shared" si="14"/>
        <v>8.900441681041836E-2</v>
      </c>
      <c r="J145" s="258">
        <v>16499</v>
      </c>
      <c r="K145" s="270">
        <f t="shared" si="14"/>
        <v>-0.98408679927667264</v>
      </c>
      <c r="L145" s="266">
        <f t="shared" si="15"/>
        <v>-0.56075288855758476</v>
      </c>
      <c r="M145" s="265">
        <f t="shared" si="16"/>
        <v>-21063</v>
      </c>
      <c r="N145" s="264">
        <f t="shared" si="17"/>
        <v>-0.23498864005193121</v>
      </c>
      <c r="O145" s="258">
        <f t="shared" si="18"/>
        <v>-5068</v>
      </c>
      <c r="Q145" s="29"/>
      <c r="R145" s="81"/>
      <c r="Z145" s="1"/>
    </row>
    <row r="146" spans="2:31" s="4" customFormat="1" x14ac:dyDescent="0.25">
      <c r="B146" s="241" t="s">
        <v>211</v>
      </c>
      <c r="C146" s="258">
        <f>C136-SUM(C137:C145)</f>
        <v>32366</v>
      </c>
      <c r="D146" s="258">
        <f>D136-SUM(D137:D145)</f>
        <v>41603</v>
      </c>
      <c r="E146" s="258">
        <f>E136-SUM(E137:E145)</f>
        <v>44307</v>
      </c>
      <c r="F146" s="258">
        <f>F136-SUM(F137:F145)</f>
        <v>37854</v>
      </c>
      <c r="G146" s="264">
        <f t="shared" si="12"/>
        <v>-0.14564290067032293</v>
      </c>
      <c r="H146" s="271">
        <f t="shared" si="13"/>
        <v>-6453</v>
      </c>
      <c r="I146" s="266">
        <f t="shared" si="14"/>
        <v>8.9696320588402559E-2</v>
      </c>
      <c r="J146" s="258">
        <f>J136-SUM(J137:J145)</f>
        <v>31635</v>
      </c>
      <c r="K146" s="266">
        <f t="shared" si="14"/>
        <v>0.77793851717902351</v>
      </c>
      <c r="L146" s="266">
        <f t="shared" si="15"/>
        <v>-0.16428911079410369</v>
      </c>
      <c r="M146" s="265">
        <f t="shared" si="16"/>
        <v>-6219</v>
      </c>
      <c r="N146" s="264">
        <f t="shared" si="17"/>
        <v>-2.2585429154050596E-2</v>
      </c>
      <c r="O146" s="258">
        <f t="shared" si="18"/>
        <v>-731</v>
      </c>
      <c r="Q146" s="29"/>
      <c r="R146" s="81"/>
      <c r="Z146" s="1"/>
    </row>
    <row r="147" spans="2:31" s="4" customFormat="1" ht="7.5" customHeight="1" x14ac:dyDescent="0.25">
      <c r="B147" s="242"/>
      <c r="C147" s="242"/>
      <c r="D147" s="242"/>
      <c r="E147" s="242"/>
      <c r="F147" s="242"/>
      <c r="G147" s="242"/>
      <c r="H147" s="242"/>
      <c r="I147" s="242"/>
      <c r="J147" s="242"/>
      <c r="K147" s="242"/>
      <c r="L147" s="242"/>
      <c r="M147" s="242"/>
      <c r="N147" s="242"/>
      <c r="O147" s="242"/>
      <c r="Z147" s="1" t="s">
        <v>187</v>
      </c>
    </row>
    <row r="148" spans="2:31" s="4" customFormat="1" x14ac:dyDescent="0.25">
      <c r="B148" s="171" t="s">
        <v>188</v>
      </c>
      <c r="C148" s="171"/>
      <c r="D148" s="171"/>
      <c r="E148" s="171"/>
      <c r="F148" s="171"/>
      <c r="G148" s="171"/>
      <c r="H148" s="171"/>
      <c r="I148" s="171"/>
      <c r="J148" s="171"/>
      <c r="K148" s="171"/>
      <c r="L148" s="171"/>
      <c r="M148" s="171"/>
      <c r="N148" s="171"/>
      <c r="O148" s="171"/>
      <c r="Z148" s="1" t="s">
        <v>189</v>
      </c>
    </row>
    <row r="149" spans="2:31" x14ac:dyDescent="0.25">
      <c r="Z149" s="1"/>
      <c r="AE149"/>
    </row>
  </sheetData>
  <mergeCells count="2">
    <mergeCell ref="B42:S42"/>
    <mergeCell ref="B52:S5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&amp;L&amp;G&amp;R_x000D_&amp;1#&amp;"Aptos"&amp;8&amp;K000000 Documento interno</oddFooter>
  </headerFooter>
  <drawing r:id="rId2"/>
  <legacyDrawingHF r:id="rId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11A91-7ACE-44DB-A0A5-AE8237C0C5C6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273" t="s">
        <v>320</v>
      </c>
      <c r="C4" s="273"/>
      <c r="D4" s="273"/>
      <c r="E4" s="1" t="s">
        <v>71</v>
      </c>
    </row>
    <row r="5" spans="1:5" ht="10.5" customHeight="1" thickBot="1" x14ac:dyDescent="0.3">
      <c r="B5" s="109"/>
      <c r="C5" s="110"/>
      <c r="D5" s="109"/>
      <c r="E5" s="1" t="s">
        <v>72</v>
      </c>
    </row>
    <row r="6" spans="1:5" ht="22.5" thickTop="1" thickBot="1" x14ac:dyDescent="0.3">
      <c r="B6" s="111" t="s">
        <v>32</v>
      </c>
      <c r="C6" s="298" t="s">
        <v>216</v>
      </c>
      <c r="D6" s="299"/>
    </row>
    <row r="7" spans="1:5" ht="16.5" thickTop="1" thickBot="1" x14ac:dyDescent="0.3">
      <c r="B7" s="87"/>
      <c r="C7" s="113" t="s">
        <v>145</v>
      </c>
      <c r="D7" s="114" t="s">
        <v>146</v>
      </c>
    </row>
    <row r="8" spans="1:5" x14ac:dyDescent="0.25">
      <c r="A8" s="1" t="s">
        <v>75</v>
      </c>
      <c r="B8" s="116">
        <v>2025</v>
      </c>
      <c r="C8" s="117">
        <v>178403</v>
      </c>
      <c r="D8" s="118">
        <f t="shared" ref="D8:D21" si="0">C8/C9-1</f>
        <v>0.14369695104751656</v>
      </c>
    </row>
    <row r="9" spans="1:5" x14ac:dyDescent="0.25">
      <c r="A9" s="1"/>
      <c r="B9" s="116">
        <f>B8-1</f>
        <v>2024</v>
      </c>
      <c r="C9" s="117">
        <v>155988</v>
      </c>
      <c r="D9" s="118">
        <f t="shared" si="0"/>
        <v>5.9600309753148561E-2</v>
      </c>
    </row>
    <row r="10" spans="1:5" x14ac:dyDescent="0.25">
      <c r="A10" s="1"/>
      <c r="B10" s="116">
        <f t="shared" ref="B10:B22" si="1">B9-1</f>
        <v>2023</v>
      </c>
      <c r="C10" s="117">
        <v>147214</v>
      </c>
      <c r="D10" s="118">
        <f t="shared" si="0"/>
        <v>9.1395697107186757E-2</v>
      </c>
    </row>
    <row r="11" spans="1:5" x14ac:dyDescent="0.25">
      <c r="A11" s="1"/>
      <c r="B11" s="116">
        <f t="shared" si="1"/>
        <v>2022</v>
      </c>
      <c r="C11" s="117">
        <v>134886</v>
      </c>
      <c r="D11" s="118">
        <f t="shared" si="0"/>
        <v>0.29007144428397913</v>
      </c>
    </row>
    <row r="12" spans="1:5" x14ac:dyDescent="0.25">
      <c r="A12" s="1" t="s">
        <v>77</v>
      </c>
      <c r="B12" s="116">
        <f t="shared" si="1"/>
        <v>2021</v>
      </c>
      <c r="C12" s="117">
        <v>104557</v>
      </c>
      <c r="D12" s="118">
        <f t="shared" si="0"/>
        <v>0.69815335141543899</v>
      </c>
    </row>
    <row r="13" spans="1:5" x14ac:dyDescent="0.25">
      <c r="A13" s="1" t="s">
        <v>79</v>
      </c>
      <c r="B13" s="116">
        <f t="shared" si="1"/>
        <v>2020</v>
      </c>
      <c r="C13" s="117">
        <v>61571</v>
      </c>
      <c r="D13" s="118">
        <f t="shared" si="0"/>
        <v>-0.48751477418388245</v>
      </c>
    </row>
    <row r="14" spans="1:5" x14ac:dyDescent="0.25">
      <c r="A14" s="1" t="s">
        <v>81</v>
      </c>
      <c r="B14" s="116">
        <f t="shared" si="1"/>
        <v>2019</v>
      </c>
      <c r="C14" s="117">
        <v>120142</v>
      </c>
      <c r="D14" s="118">
        <f t="shared" si="0"/>
        <v>-0.11034263160622915</v>
      </c>
    </row>
    <row r="15" spans="1:5" x14ac:dyDescent="0.25">
      <c r="A15" s="1" t="s">
        <v>83</v>
      </c>
      <c r="B15" s="116">
        <f t="shared" si="1"/>
        <v>2018</v>
      </c>
      <c r="C15" s="117">
        <v>135043</v>
      </c>
      <c r="D15" s="118">
        <f t="shared" si="0"/>
        <v>-0.15583879779712828</v>
      </c>
    </row>
    <row r="16" spans="1:5" x14ac:dyDescent="0.25">
      <c r="A16" s="1" t="s">
        <v>85</v>
      </c>
      <c r="B16" s="116">
        <f t="shared" si="1"/>
        <v>2017</v>
      </c>
      <c r="C16" s="117">
        <v>159973</v>
      </c>
      <c r="D16" s="118">
        <f>C16/C17-1</f>
        <v>-2.5837920787255775E-2</v>
      </c>
    </row>
    <row r="17" spans="1:4" x14ac:dyDescent="0.25">
      <c r="A17" s="1" t="s">
        <v>87</v>
      </c>
      <c r="B17" s="116">
        <f t="shared" si="1"/>
        <v>2016</v>
      </c>
      <c r="C17" s="117">
        <v>164216</v>
      </c>
      <c r="D17" s="118">
        <f t="shared" si="0"/>
        <v>6.7557728312876986E-2</v>
      </c>
    </row>
    <row r="18" spans="1:4" x14ac:dyDescent="0.25">
      <c r="A18" s="1" t="s">
        <v>89</v>
      </c>
      <c r="B18" s="116">
        <f t="shared" si="1"/>
        <v>2015</v>
      </c>
      <c r="C18" s="117">
        <v>153824</v>
      </c>
      <c r="D18" s="118">
        <f t="shared" si="0"/>
        <v>0.17402288147882428</v>
      </c>
    </row>
    <row r="19" spans="1:4" x14ac:dyDescent="0.25">
      <c r="A19" s="1" t="s">
        <v>91</v>
      </c>
      <c r="B19" s="116">
        <f t="shared" si="1"/>
        <v>2014</v>
      </c>
      <c r="C19" s="117">
        <v>131023</v>
      </c>
      <c r="D19" s="118">
        <f t="shared" si="0"/>
        <v>0.10748307369809051</v>
      </c>
    </row>
    <row r="20" spans="1:4" x14ac:dyDescent="0.25">
      <c r="A20" s="1" t="s">
        <v>93</v>
      </c>
      <c r="B20" s="116">
        <f t="shared" si="1"/>
        <v>2013</v>
      </c>
      <c r="C20" s="117">
        <v>118307</v>
      </c>
      <c r="D20" s="118">
        <f>C20/C21-1</f>
        <v>-3.5794899437388006E-3</v>
      </c>
    </row>
    <row r="21" spans="1:4" x14ac:dyDescent="0.25">
      <c r="A21" s="1" t="s">
        <v>95</v>
      </c>
      <c r="B21" s="116">
        <f t="shared" si="1"/>
        <v>2012</v>
      </c>
      <c r="C21" s="117">
        <v>118732</v>
      </c>
      <c r="D21" s="118">
        <f t="shared" si="0"/>
        <v>-7.0066887012641188E-2</v>
      </c>
    </row>
    <row r="22" spans="1:4" x14ac:dyDescent="0.25">
      <c r="A22" s="1" t="s">
        <v>97</v>
      </c>
      <c r="B22" s="116">
        <f t="shared" si="1"/>
        <v>2011</v>
      </c>
      <c r="C22" s="117">
        <v>127678</v>
      </c>
      <c r="D22" s="118"/>
    </row>
    <row r="23" spans="1:4" ht="6" customHeight="1" x14ac:dyDescent="0.25"/>
    <row r="24" spans="1:4" x14ac:dyDescent="0.25">
      <c r="B24" s="107" t="s">
        <v>57</v>
      </c>
      <c r="C24" s="107"/>
      <c r="D24" s="107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8C9B-DFBA-408C-B0D4-85704806A0F1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273" t="s">
        <v>321</v>
      </c>
      <c r="C4" s="273"/>
      <c r="D4" s="273"/>
      <c r="E4" s="1" t="s">
        <v>71</v>
      </c>
    </row>
    <row r="5" spans="1:5" ht="10.5" customHeight="1" thickBot="1" x14ac:dyDescent="0.3">
      <c r="B5" s="109"/>
      <c r="C5" s="110"/>
      <c r="D5" s="109"/>
      <c r="E5" s="1" t="s">
        <v>72</v>
      </c>
    </row>
    <row r="6" spans="1:5" ht="22.5" thickTop="1" thickBot="1" x14ac:dyDescent="0.3">
      <c r="B6" s="111" t="s">
        <v>32</v>
      </c>
      <c r="C6" s="298" t="s">
        <v>217</v>
      </c>
      <c r="D6" s="299"/>
    </row>
    <row r="7" spans="1:5" ht="16.5" thickTop="1" thickBot="1" x14ac:dyDescent="0.3">
      <c r="B7" s="87"/>
      <c r="C7" s="113" t="s">
        <v>145</v>
      </c>
      <c r="D7" s="114" t="s">
        <v>146</v>
      </c>
    </row>
    <row r="8" spans="1:5" x14ac:dyDescent="0.25">
      <c r="A8" s="1" t="s">
        <v>75</v>
      </c>
      <c r="B8" s="116">
        <v>2025</v>
      </c>
      <c r="C8" s="117">
        <v>84941</v>
      </c>
      <c r="D8" s="118">
        <f t="shared" ref="D8:D21" si="0">C8/C9-1</f>
        <v>5.1250000000000018E-2</v>
      </c>
    </row>
    <row r="9" spans="1:5" x14ac:dyDescent="0.25">
      <c r="A9" s="1"/>
      <c r="B9" s="116">
        <f>B8-1</f>
        <v>2024</v>
      </c>
      <c r="C9" s="117">
        <v>80800</v>
      </c>
      <c r="D9" s="118">
        <f t="shared" si="0"/>
        <v>7.6194989337690089E-3</v>
      </c>
    </row>
    <row r="10" spans="1:5" x14ac:dyDescent="0.25">
      <c r="A10" s="1"/>
      <c r="B10" s="116">
        <f t="shared" ref="B10:B22" si="1">B9-1</f>
        <v>2023</v>
      </c>
      <c r="C10" s="117">
        <v>80189</v>
      </c>
      <c r="D10" s="118">
        <f t="shared" si="0"/>
        <v>0.23327847926054668</v>
      </c>
    </row>
    <row r="11" spans="1:5" x14ac:dyDescent="0.25">
      <c r="A11" s="1"/>
      <c r="B11" s="116">
        <f t="shared" si="1"/>
        <v>2022</v>
      </c>
      <c r="C11" s="117">
        <v>65021</v>
      </c>
      <c r="D11" s="118">
        <f t="shared" si="0"/>
        <v>0.26721886571818354</v>
      </c>
    </row>
    <row r="12" spans="1:5" x14ac:dyDescent="0.25">
      <c r="A12" s="1" t="s">
        <v>77</v>
      </c>
      <c r="B12" s="116">
        <f t="shared" si="1"/>
        <v>2021</v>
      </c>
      <c r="C12" s="117">
        <v>51310</v>
      </c>
      <c r="D12" s="118">
        <f t="shared" si="0"/>
        <v>0.51894612196566015</v>
      </c>
    </row>
    <row r="13" spans="1:5" x14ac:dyDescent="0.25">
      <c r="A13" s="1" t="s">
        <v>79</v>
      </c>
      <c r="B13" s="116">
        <f t="shared" si="1"/>
        <v>2020</v>
      </c>
      <c r="C13" s="117">
        <v>33780</v>
      </c>
      <c r="D13" s="118">
        <f t="shared" si="0"/>
        <v>-0.42809738258896823</v>
      </c>
    </row>
    <row r="14" spans="1:5" x14ac:dyDescent="0.25">
      <c r="A14" s="1" t="s">
        <v>81</v>
      </c>
      <c r="B14" s="116">
        <f t="shared" si="1"/>
        <v>2019</v>
      </c>
      <c r="C14" s="117">
        <v>59066</v>
      </c>
      <c r="D14" s="118">
        <f t="shared" si="0"/>
        <v>-1.2307280692953393E-2</v>
      </c>
    </row>
    <row r="15" spans="1:5" x14ac:dyDescent="0.25">
      <c r="A15" s="1" t="s">
        <v>83</v>
      </c>
      <c r="B15" s="116">
        <f t="shared" si="1"/>
        <v>2018</v>
      </c>
      <c r="C15" s="117">
        <v>59802</v>
      </c>
      <c r="D15" s="118">
        <f>C15/C16-1</f>
        <v>-9.2919548598471069E-2</v>
      </c>
    </row>
    <row r="16" spans="1:5" x14ac:dyDescent="0.25">
      <c r="A16" s="1" t="s">
        <v>85</v>
      </c>
      <c r="B16" s="116">
        <f t="shared" si="1"/>
        <v>2017</v>
      </c>
      <c r="C16" s="117">
        <v>65928</v>
      </c>
      <c r="D16" s="118">
        <f>C16/C17-1</f>
        <v>-6.8168647792964054E-2</v>
      </c>
    </row>
    <row r="17" spans="1:4" x14ac:dyDescent="0.25">
      <c r="A17" s="1" t="s">
        <v>87</v>
      </c>
      <c r="B17" s="116">
        <f t="shared" si="1"/>
        <v>2016</v>
      </c>
      <c r="C17" s="117">
        <v>70751</v>
      </c>
      <c r="D17" s="118">
        <f t="shared" si="0"/>
        <v>0.2092741039533732</v>
      </c>
    </row>
    <row r="18" spans="1:4" x14ac:dyDescent="0.25">
      <c r="A18" s="1" t="s">
        <v>89</v>
      </c>
      <c r="B18" s="116">
        <f t="shared" si="1"/>
        <v>2015</v>
      </c>
      <c r="C18" s="117">
        <v>58507</v>
      </c>
      <c r="D18" s="118">
        <f t="shared" si="0"/>
        <v>0.30616390953943706</v>
      </c>
    </row>
    <row r="19" spans="1:4" x14ac:dyDescent="0.25">
      <c r="A19" s="1" t="s">
        <v>91</v>
      </c>
      <c r="B19" s="116">
        <f t="shared" si="1"/>
        <v>2014</v>
      </c>
      <c r="C19" s="117">
        <v>44793</v>
      </c>
      <c r="D19" s="118">
        <f t="shared" si="0"/>
        <v>-0.16617647058823526</v>
      </c>
    </row>
    <row r="20" spans="1:4" x14ac:dyDescent="0.25">
      <c r="A20" s="1" t="s">
        <v>93</v>
      </c>
      <c r="B20" s="116">
        <f t="shared" si="1"/>
        <v>2013</v>
      </c>
      <c r="C20" s="117">
        <v>53720</v>
      </c>
      <c r="D20" s="118">
        <f>C20/C21-1</f>
        <v>-0.10682517249979218</v>
      </c>
    </row>
    <row r="21" spans="1:4" x14ac:dyDescent="0.25">
      <c r="A21" s="1" t="s">
        <v>95</v>
      </c>
      <c r="B21" s="116">
        <f t="shared" si="1"/>
        <v>2012</v>
      </c>
      <c r="C21" s="117">
        <v>60145</v>
      </c>
      <c r="D21" s="118">
        <f t="shared" si="0"/>
        <v>-8.7010641043156145E-2</v>
      </c>
    </row>
    <row r="22" spans="1:4" x14ac:dyDescent="0.25">
      <c r="A22" s="1" t="s">
        <v>97</v>
      </c>
      <c r="B22" s="116">
        <f t="shared" si="1"/>
        <v>2011</v>
      </c>
      <c r="C22" s="117">
        <v>65877</v>
      </c>
      <c r="D22" s="118"/>
    </row>
    <row r="23" spans="1:4" ht="6" customHeight="1" x14ac:dyDescent="0.25"/>
    <row r="24" spans="1:4" x14ac:dyDescent="0.25">
      <c r="B24" s="107" t="s">
        <v>57</v>
      </c>
      <c r="C24" s="107"/>
      <c r="D24" s="107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44A4A-2BC6-4A6E-B22D-ACCF3A76713F}">
  <sheetPr>
    <tabColor theme="4" tint="0.39997558519241921"/>
  </sheetPr>
  <dimension ref="A4:E24"/>
  <sheetViews>
    <sheetView showGridLines="0" zoomScaleNormal="100" workbookViewId="0"/>
  </sheetViews>
  <sheetFormatPr baseColWidth="10" defaultColWidth="11.42578125" defaultRowHeight="15" x14ac:dyDescent="0.25"/>
  <cols>
    <col min="1" max="2" width="15.28515625" customWidth="1"/>
    <col min="3" max="3" width="30.140625" customWidth="1"/>
    <col min="4" max="4" width="21.85546875" customWidth="1"/>
  </cols>
  <sheetData>
    <row r="4" spans="1:5" ht="63" customHeight="1" thickBot="1" x14ac:dyDescent="0.3">
      <c r="B4" s="273" t="s">
        <v>322</v>
      </c>
      <c r="C4" s="273"/>
      <c r="D4" s="273"/>
      <c r="E4" s="1" t="s">
        <v>71</v>
      </c>
    </row>
    <row r="5" spans="1:5" ht="10.5" customHeight="1" thickBot="1" x14ac:dyDescent="0.3">
      <c r="B5" s="109"/>
      <c r="C5" s="110"/>
      <c r="D5" s="109"/>
      <c r="E5" s="1" t="s">
        <v>72</v>
      </c>
    </row>
    <row r="6" spans="1:5" ht="22.5" thickTop="1" thickBot="1" x14ac:dyDescent="0.3">
      <c r="B6" s="111" t="s">
        <v>32</v>
      </c>
      <c r="C6" s="298" t="s">
        <v>218</v>
      </c>
      <c r="D6" s="299"/>
    </row>
    <row r="7" spans="1:5" ht="16.5" thickTop="1" thickBot="1" x14ac:dyDescent="0.3">
      <c r="B7" s="87"/>
      <c r="C7" s="113" t="s">
        <v>145</v>
      </c>
      <c r="D7" s="114" t="s">
        <v>146</v>
      </c>
    </row>
    <row r="8" spans="1:5" x14ac:dyDescent="0.25">
      <c r="A8" s="1" t="s">
        <v>75</v>
      </c>
      <c r="B8" s="116">
        <v>2025</v>
      </c>
      <c r="C8" s="117">
        <v>93462</v>
      </c>
      <c r="D8" s="118">
        <f t="shared" ref="D8:D21" si="0">C8/C9-1</f>
        <v>0.24304410278235888</v>
      </c>
    </row>
    <row r="9" spans="1:5" x14ac:dyDescent="0.25">
      <c r="A9" s="1"/>
      <c r="B9" s="116">
        <f>B8-1</f>
        <v>2024</v>
      </c>
      <c r="C9" s="117">
        <v>75188</v>
      </c>
      <c r="D9" s="118">
        <f t="shared" si="0"/>
        <v>0.12179037672510251</v>
      </c>
    </row>
    <row r="10" spans="1:5" x14ac:dyDescent="0.25">
      <c r="A10" s="1"/>
      <c r="B10" s="116">
        <f t="shared" ref="B10:B22" si="1">B9-1</f>
        <v>2023</v>
      </c>
      <c r="C10" s="117">
        <v>67025</v>
      </c>
      <c r="D10" s="118">
        <f t="shared" si="0"/>
        <v>-4.0649824661847855E-2</v>
      </c>
    </row>
    <row r="11" spans="1:5" x14ac:dyDescent="0.25">
      <c r="A11" s="1"/>
      <c r="B11" s="116">
        <f t="shared" si="1"/>
        <v>2022</v>
      </c>
      <c r="C11" s="117">
        <v>69865</v>
      </c>
      <c r="D11" s="118">
        <f t="shared" si="0"/>
        <v>0.31209270005821921</v>
      </c>
    </row>
    <row r="12" spans="1:5" x14ac:dyDescent="0.25">
      <c r="A12" s="1" t="s">
        <v>77</v>
      </c>
      <c r="B12" s="116">
        <f t="shared" si="1"/>
        <v>2021</v>
      </c>
      <c r="C12" s="117">
        <v>53247</v>
      </c>
      <c r="D12" s="118">
        <f t="shared" si="0"/>
        <v>0.91597999352308301</v>
      </c>
    </row>
    <row r="13" spans="1:5" x14ac:dyDescent="0.25">
      <c r="A13" s="1" t="s">
        <v>79</v>
      </c>
      <c r="B13" s="116">
        <f t="shared" si="1"/>
        <v>2020</v>
      </c>
      <c r="C13" s="117">
        <v>27791</v>
      </c>
      <c r="D13" s="118">
        <f t="shared" si="0"/>
        <v>-0.5449767502783418</v>
      </c>
    </row>
    <row r="14" spans="1:5" x14ac:dyDescent="0.25">
      <c r="A14" s="1" t="s">
        <v>81</v>
      </c>
      <c r="B14" s="116">
        <f t="shared" si="1"/>
        <v>2019</v>
      </c>
      <c r="C14" s="117">
        <v>61076</v>
      </c>
      <c r="D14" s="118">
        <f t="shared" si="0"/>
        <v>-0.18826171900958255</v>
      </c>
    </row>
    <row r="15" spans="1:5" x14ac:dyDescent="0.25">
      <c r="A15" s="1" t="s">
        <v>83</v>
      </c>
      <c r="B15" s="116">
        <f t="shared" si="1"/>
        <v>2018</v>
      </c>
      <c r="C15" s="117">
        <v>75241</v>
      </c>
      <c r="D15" s="118">
        <f>C15/C16-1</f>
        <v>-0.19994683396246482</v>
      </c>
    </row>
    <row r="16" spans="1:5" x14ac:dyDescent="0.25">
      <c r="A16" s="1" t="s">
        <v>85</v>
      </c>
      <c r="B16" s="116">
        <f t="shared" si="1"/>
        <v>2017</v>
      </c>
      <c r="C16" s="117">
        <v>94045</v>
      </c>
      <c r="D16" s="118">
        <f>C16/C17-1</f>
        <v>6.2055314823730168E-3</v>
      </c>
    </row>
    <row r="17" spans="1:4" x14ac:dyDescent="0.25">
      <c r="A17" s="1" t="s">
        <v>87</v>
      </c>
      <c r="B17" s="116">
        <f t="shared" si="1"/>
        <v>2016</v>
      </c>
      <c r="C17" s="117">
        <v>93465</v>
      </c>
      <c r="D17" s="118">
        <f t="shared" si="0"/>
        <v>-1.942990232592301E-2</v>
      </c>
    </row>
    <row r="18" spans="1:4" x14ac:dyDescent="0.25">
      <c r="A18" s="1" t="s">
        <v>89</v>
      </c>
      <c r="B18" s="116">
        <f t="shared" si="1"/>
        <v>2015</v>
      </c>
      <c r="C18" s="117">
        <v>95317</v>
      </c>
      <c r="D18" s="118">
        <f t="shared" si="0"/>
        <v>0.10538095790328184</v>
      </c>
    </row>
    <row r="19" spans="1:4" x14ac:dyDescent="0.25">
      <c r="A19" s="1" t="s">
        <v>91</v>
      </c>
      <c r="B19" s="116">
        <f t="shared" si="1"/>
        <v>2014</v>
      </c>
      <c r="C19" s="117">
        <v>86230</v>
      </c>
      <c r="D19" s="118">
        <f t="shared" si="0"/>
        <v>0.33509839441373646</v>
      </c>
    </row>
    <row r="20" spans="1:4" x14ac:dyDescent="0.25">
      <c r="A20" s="1" t="s">
        <v>93</v>
      </c>
      <c r="B20" s="116">
        <f t="shared" si="1"/>
        <v>2013</v>
      </c>
      <c r="C20" s="117">
        <v>64587</v>
      </c>
      <c r="D20" s="118">
        <f>C20/C21-1</f>
        <v>0.10241179783911103</v>
      </c>
    </row>
    <row r="21" spans="1:4" x14ac:dyDescent="0.25">
      <c r="A21" s="1" t="s">
        <v>95</v>
      </c>
      <c r="B21" s="116">
        <f t="shared" si="1"/>
        <v>2012</v>
      </c>
      <c r="C21" s="117">
        <v>58587</v>
      </c>
      <c r="D21" s="118">
        <f t="shared" si="0"/>
        <v>-5.2005630976845074E-2</v>
      </c>
    </row>
    <row r="22" spans="1:4" x14ac:dyDescent="0.25">
      <c r="A22" s="1" t="s">
        <v>97</v>
      </c>
      <c r="B22" s="116">
        <f t="shared" si="1"/>
        <v>2011</v>
      </c>
      <c r="C22" s="117">
        <v>61801</v>
      </c>
      <c r="D22" s="118"/>
    </row>
    <row r="23" spans="1:4" ht="6" customHeight="1" x14ac:dyDescent="0.25"/>
    <row r="24" spans="1:4" x14ac:dyDescent="0.25">
      <c r="B24" s="107" t="s">
        <v>57</v>
      </c>
      <c r="C24" s="107"/>
      <c r="D24" s="107"/>
    </row>
  </sheetData>
  <mergeCells count="2">
    <mergeCell ref="B4:D4"/>
    <mergeCell ref="C6:D6"/>
  </mergeCells>
  <pageMargins left="0.7" right="0.7" top="0.75" bottom="0.75" header="0.3" footer="0.3"/>
  <pageSetup paperSize="9" orientation="portrait" r:id="rId1"/>
  <headerFooter>
    <oddFooter>&amp;R_x000D_&amp;1#&amp;"Aptos"&amp;8&amp;K000000 Documento interno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82f571-e864-4b98-84bd-930f661ed42a">
      <Terms xmlns="http://schemas.microsoft.com/office/infopath/2007/PartnerControls"/>
    </lcf76f155ced4ddcb4097134ff3c332f>
    <TaxCatchAll xmlns="8c9163ab-4d1c-46a7-8d61-b5cee27b745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969C42FB1FA284BA60CDF94DEB4DBF3" ma:contentTypeVersion="19" ma:contentTypeDescription="Crear nuevo documento." ma:contentTypeScope="" ma:versionID="ff8a3df7016eeaaea32c4c9bae7b660d">
  <xsd:schema xmlns:xsd="http://www.w3.org/2001/XMLSchema" xmlns:xs="http://www.w3.org/2001/XMLSchema" xmlns:p="http://schemas.microsoft.com/office/2006/metadata/properties" xmlns:ns2="9b82f571-e864-4b98-84bd-930f661ed42a" xmlns:ns3="8c9163ab-4d1c-46a7-8d61-b5cee27b7450" targetNamespace="http://schemas.microsoft.com/office/2006/metadata/properties" ma:root="true" ma:fieldsID="f153abb99b1b4c5397f3c78dffc41bf6" ns2:_="" ns3:_="">
    <xsd:import namespace="9b82f571-e864-4b98-84bd-930f661ed42a"/>
    <xsd:import namespace="8c9163ab-4d1c-46a7-8d61-b5cee27b7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82f571-e864-4b98-84bd-930f661ed4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3325280-2aef-4f39-8940-b77a215173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163ab-4d1c-46a7-8d61-b5cee27b7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db4f369-2d72-4174-95fe-41f9ef52a544}" ma:internalName="TaxCatchAll" ma:showField="CatchAllData" ma:web="8c9163ab-4d1c-46a7-8d61-b5cee27b7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39DDBB-CFB8-41D5-87F2-076EE52A195F}">
  <ds:schemaRefs>
    <ds:schemaRef ds:uri="http://schemas.microsoft.com/office/2006/metadata/properties"/>
    <ds:schemaRef ds:uri="http://schemas.microsoft.com/office/infopath/2007/PartnerControls"/>
    <ds:schemaRef ds:uri="9b82f571-e864-4b98-84bd-930f661ed42a"/>
    <ds:schemaRef ds:uri="8c9163ab-4d1c-46a7-8d61-b5cee27b7450"/>
  </ds:schemaRefs>
</ds:datastoreItem>
</file>

<file path=customXml/itemProps2.xml><?xml version="1.0" encoding="utf-8"?>
<ds:datastoreItem xmlns:ds="http://schemas.openxmlformats.org/officeDocument/2006/customXml" ds:itemID="{81BAC424-A9C2-40B2-8807-F52C906D32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82f571-e864-4b98-84bd-930f661ed42a"/>
    <ds:schemaRef ds:uri="8c9163ab-4d1c-46a7-8d61-b5cee27b74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03BCB9-4BCE-40B1-8382-C9F2890E11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48</vt:i4>
      </vt:variant>
      <vt:variant>
        <vt:lpstr>Rangos con nombre</vt:lpstr>
      </vt:variant>
      <vt:variant>
        <vt:i4>17</vt:i4>
      </vt:variant>
    </vt:vector>
  </HeadingPairs>
  <TitlesOfParts>
    <vt:vector size="65" baseType="lpstr">
      <vt:lpstr>Menú principal</vt:lpstr>
      <vt:lpstr>Resumen indicadores (aloj)</vt:lpstr>
      <vt:lpstr>Resumen indicadores municipios </vt:lpstr>
      <vt:lpstr>Oferta alojativa</vt:lpstr>
      <vt:lpstr>Plazas aloj islas cat y tipolog</vt:lpstr>
      <vt:lpstr>Establecim aloj islas cat y tip</vt:lpstr>
      <vt:lpstr>viajeros entrados</vt:lpstr>
      <vt:lpstr>Viajeros entr evol mensu TF</vt:lpstr>
      <vt:lpstr>Viajeros entr evol mensu TF15-2</vt:lpstr>
      <vt:lpstr>Viajeros entr evol mensu TF cat</vt:lpstr>
      <vt:lpstr>Viajeros entr evol anual TF cat</vt:lpstr>
      <vt:lpstr>Viajeros entr ti-cat ultimo mes</vt:lpstr>
      <vt:lpstr>viaj entrados lugar resid años </vt:lpstr>
      <vt:lpstr>viaj entrados lugar residencia</vt:lpstr>
      <vt:lpstr>viaj entrados lugar residen acu</vt:lpstr>
      <vt:lpstr>viaj entrados lugar residen hot</vt:lpstr>
      <vt:lpstr>viaj entrados lugar residen apt</vt:lpstr>
      <vt:lpstr>viaj entrados lugar residen cat</vt:lpstr>
      <vt:lpstr>viaj entr lugar res año categor</vt:lpstr>
      <vt:lpstr>viajeros alojados</vt:lpstr>
      <vt:lpstr>viaj aloj lugar residen mes</vt:lpstr>
      <vt:lpstr>viaj alojados lugar residen acu</vt:lpstr>
      <vt:lpstr>Pernoctaciones</vt:lpstr>
      <vt:lpstr>Pernoctaciones evol mensu TF</vt:lpstr>
      <vt:lpstr>Pernocta evol mensu TF cat</vt:lpstr>
      <vt:lpstr>Pernoctaciones lugar reside</vt:lpstr>
      <vt:lpstr>Pernoctaciones lugar residen ac</vt:lpstr>
      <vt:lpstr>Pernoctaciones lugar reside año</vt:lpstr>
      <vt:lpstr>Estancia media</vt:lpstr>
      <vt:lpstr>EM evol menusual lugar resd</vt:lpstr>
      <vt:lpstr>EM evol mensu TF cat </vt:lpstr>
      <vt:lpstr>Tasa de ocupación</vt:lpstr>
      <vt:lpstr>tasa de ocupación evol mens</vt:lpstr>
      <vt:lpstr>indicadores rentabilidad</vt:lpstr>
      <vt:lpstr>ADR RevPAR ingresos totales ult</vt:lpstr>
      <vt:lpstr>ADR municipios</vt:lpstr>
      <vt:lpstr>RevPAR  municipios</vt:lpstr>
      <vt:lpstr>viajeros españoles</vt:lpstr>
      <vt:lpstr>distribución españoles x Resid</vt:lpstr>
      <vt:lpstr>distribución españoles x cate</vt:lpstr>
      <vt:lpstr>distribución peninsulare x cate</vt:lpstr>
      <vt:lpstr>distribución canarios x cate</vt:lpstr>
      <vt:lpstr>distribución españoles x mun al</vt:lpstr>
      <vt:lpstr>distribución peninsula x munici</vt:lpstr>
      <vt:lpstr>distribución canarias x munici</vt:lpstr>
      <vt:lpstr>evolución anual viaj ent españo</vt:lpstr>
      <vt:lpstr>evolución anual viaj ent penins</vt:lpstr>
      <vt:lpstr>evolución anual viaj ent canari</vt:lpstr>
      <vt:lpstr>'distribución canarias x munici'!Área_de_impresión</vt:lpstr>
      <vt:lpstr>'distribución canarios x cate'!Área_de_impresión</vt:lpstr>
      <vt:lpstr>'distribución españoles x cate'!Área_de_impresión</vt:lpstr>
      <vt:lpstr>'distribución españoles x mun al'!Área_de_impresión</vt:lpstr>
      <vt:lpstr>'distribución españoles x Resid'!Área_de_impresión</vt:lpstr>
      <vt:lpstr>'distribución peninsula x munici'!Área_de_impresión</vt:lpstr>
      <vt:lpstr>'distribución peninsulare x cate'!Área_de_impresión</vt:lpstr>
      <vt:lpstr>'Pernoctaciones lugar reside'!Área_de_impresión</vt:lpstr>
      <vt:lpstr>'Pernoctaciones lugar reside año'!Área_de_impresión</vt:lpstr>
      <vt:lpstr>'Pernoctaciones lugar residen ac'!Área_de_impresión</vt:lpstr>
      <vt:lpstr>'viaj alojados lugar residen acu'!Área_de_impresión</vt:lpstr>
      <vt:lpstr>'viaj entr lugar res año categor'!Área_de_impresión</vt:lpstr>
      <vt:lpstr>'viaj entrados lugar resid años '!Área_de_impresión</vt:lpstr>
      <vt:lpstr>'viaj entrados lugar residen acu'!Área_de_impresión</vt:lpstr>
      <vt:lpstr>'viaj entrados lugar residen apt'!Área_de_impresión</vt:lpstr>
      <vt:lpstr>'viaj entrados lugar residen cat'!Área_de_impresión</vt:lpstr>
      <vt:lpstr>'viaj entrados lugar residen hot'!Área_de_impresión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Marjorie Pérez García</dc:creator>
  <cp:lastModifiedBy>Marjorie Pérez García</cp:lastModifiedBy>
  <dcterms:created xsi:type="dcterms:W3CDTF">2026-10-05T07:34:25Z</dcterms:created>
  <dcterms:modified xsi:type="dcterms:W3CDTF">2026-10-05T11:45:03Z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cee399-9820-426f-a9dc-8d935479c632_Enabled">
    <vt:lpwstr>true</vt:lpwstr>
  </property>
  <property fmtid="{D5CDD505-2E9C-101B-9397-08002B2CF9AE}" pid="3" name="MSIP_Label_b1cee399-9820-426f-a9dc-8d935479c632_SetDate">
    <vt:lpwstr>2026-10-05T07:34:42Z</vt:lpwstr>
  </property>
  <property fmtid="{D5CDD505-2E9C-101B-9397-08002B2CF9AE}" pid="4" name="MSIP_Label_b1cee399-9820-426f-a9dc-8d935479c632_Method">
    <vt:lpwstr>Standard</vt:lpwstr>
  </property>
  <property fmtid="{D5CDD505-2E9C-101B-9397-08002B2CF9AE}" pid="5" name="MSIP_Label_b1cee399-9820-426f-a9dc-8d935479c632_Name">
    <vt:lpwstr>Interno</vt:lpwstr>
  </property>
  <property fmtid="{D5CDD505-2E9C-101B-9397-08002B2CF9AE}" pid="6" name="MSIP_Label_b1cee399-9820-426f-a9dc-8d935479c632_SiteId">
    <vt:lpwstr>c0807238-6fb1-47c8-ac5c-ed6069bd0d1b</vt:lpwstr>
  </property>
  <property fmtid="{D5CDD505-2E9C-101B-9397-08002B2CF9AE}" pid="7" name="MSIP_Label_b1cee399-9820-426f-a9dc-8d935479c632_ActionId">
    <vt:lpwstr>dabcb8f0-9035-4db3-bbe4-c2cc7dbc27c1</vt:lpwstr>
  </property>
  <property fmtid="{D5CDD505-2E9C-101B-9397-08002B2CF9AE}" pid="8" name="MSIP_Label_b1cee399-9820-426f-a9dc-8d935479c632_ContentBits">
    <vt:lpwstr>2</vt:lpwstr>
  </property>
  <property fmtid="{D5CDD505-2E9C-101B-9397-08002B2CF9AE}" pid="9" name="MSIP_Label_b1cee399-9820-426f-a9dc-8d935479c632_Tag">
    <vt:lpwstr>10, 3, 0, 1</vt:lpwstr>
  </property>
  <property fmtid="{D5CDD505-2E9C-101B-9397-08002B2CF9AE}" pid="10" name="ContentTypeId">
    <vt:lpwstr>0x010100F969C42FB1FA284BA60CDF94DEB4DBF3</vt:lpwstr>
  </property>
  <property fmtid="{D5CDD505-2E9C-101B-9397-08002B2CF9AE}" pid="11" name="MediaServiceImageTags">
    <vt:lpwstr/>
  </property>
</Properties>
</file>